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3740" firstSheet="63" activeTab="64"/>
  </bookViews>
  <sheets>
    <sheet name="CONSOL" sheetId="6" r:id="rId1"/>
    <sheet name="AGS " sheetId="4" r:id="rId2"/>
    <sheet name="AGS_Calendario" sheetId="1" r:id="rId3"/>
    <sheet name="AGS CONT" sheetId="2" r:id="rId4"/>
    <sheet name="BC" sheetId="7" r:id="rId5"/>
    <sheet name="BC_Calendario" sheetId="75" r:id="rId6"/>
    <sheet name="BCS " sheetId="76" r:id="rId7"/>
    <sheet name="BCS_Calendario" sheetId="10" r:id="rId8"/>
    <sheet name="CAM" sheetId="12" r:id="rId9"/>
    <sheet name="CAM_Calendario" sheetId="11" r:id="rId10"/>
    <sheet name="COAH" sheetId="14" r:id="rId11"/>
    <sheet name="COAH_Calendario" sheetId="13" r:id="rId12"/>
    <sheet name="COL" sheetId="16" r:id="rId13"/>
    <sheet name="COL_Calendario" sheetId="15" r:id="rId14"/>
    <sheet name="CHIS" sheetId="18" r:id="rId15"/>
    <sheet name="CHIS_Calendario" sheetId="17" r:id="rId16"/>
    <sheet name="CHIH" sheetId="20" r:id="rId17"/>
    <sheet name="CHIH_Calendario" sheetId="19" r:id="rId18"/>
    <sheet name="NC" sheetId="22" r:id="rId19"/>
    <sheet name="NC_Calendario" sheetId="21" r:id="rId20"/>
    <sheet name="DGO" sheetId="24" r:id="rId21"/>
    <sheet name="DGO_Calendario" sheetId="23" r:id="rId22"/>
    <sheet name="GTO" sheetId="26" r:id="rId23"/>
    <sheet name="GTO_Calendario" sheetId="25" r:id="rId24"/>
    <sheet name="GRO" sheetId="28" r:id="rId25"/>
    <sheet name="GRO_Calendario" sheetId="27" r:id="rId26"/>
    <sheet name="HGO" sheetId="30" r:id="rId27"/>
    <sheet name="HGO_Calendario" sheetId="29" r:id="rId28"/>
    <sheet name="JAL" sheetId="32" r:id="rId29"/>
    <sheet name="JAL_Calendario" sheetId="31" r:id="rId30"/>
    <sheet name="EDO MEX OTE" sheetId="34" r:id="rId31"/>
    <sheet name="EDO MEX OTE_Calendario" sheetId="33" r:id="rId32"/>
    <sheet name="EDO MEX PTE" sheetId="36" r:id="rId33"/>
    <sheet name="EDO MEX PTE_Calendario" sheetId="35" r:id="rId34"/>
    <sheet name="MICH" sheetId="38" r:id="rId35"/>
    <sheet name="MICH_Calendario" sheetId="37" r:id="rId36"/>
    <sheet name="MOR" sheetId="40" r:id="rId37"/>
    <sheet name="MOR_Calendario" sheetId="39" r:id="rId38"/>
    <sheet name="NAY" sheetId="42" r:id="rId39"/>
    <sheet name="NAY_Calendario" sheetId="41" r:id="rId40"/>
    <sheet name="NL" sheetId="44" r:id="rId41"/>
    <sheet name="NL_Calendario" sheetId="43" r:id="rId42"/>
    <sheet name="OAX" sheetId="46" r:id="rId43"/>
    <sheet name="OAX_Calendario" sheetId="45" r:id="rId44"/>
    <sheet name="PUB" sheetId="48" r:id="rId45"/>
    <sheet name="PUB_Calendario" sheetId="47" r:id="rId46"/>
    <sheet name="QRO" sheetId="50" r:id="rId47"/>
    <sheet name="QRO_Calendario" sheetId="49" r:id="rId48"/>
    <sheet name="Q ROO" sheetId="52" r:id="rId49"/>
    <sheet name="Q ROO_Calendario" sheetId="51" r:id="rId50"/>
    <sheet name="SLP" sheetId="54" r:id="rId51"/>
    <sheet name="SLP_Calendario" sheetId="53" r:id="rId52"/>
    <sheet name="SIN" sheetId="56" r:id="rId53"/>
    <sheet name="SIN_Calendario" sheetId="55" r:id="rId54"/>
    <sheet name="SON" sheetId="58" r:id="rId55"/>
    <sheet name="SON_Calendario" sheetId="57" r:id="rId56"/>
    <sheet name="TAB" sheetId="60" r:id="rId57"/>
    <sheet name="TAB_Calendario" sheetId="59" r:id="rId58"/>
    <sheet name="TAMS" sheetId="62" r:id="rId59"/>
    <sheet name="TAMS_Calendario" sheetId="61" r:id="rId60"/>
    <sheet name="TLAX" sheetId="64" r:id="rId61"/>
    <sheet name="TLAX_Calendario" sheetId="63" r:id="rId62"/>
    <sheet name="VER NTE" sheetId="66" r:id="rId63"/>
    <sheet name="VER NTE_Calendario" sheetId="65" r:id="rId64"/>
    <sheet name="VER SUR" sheetId="68" r:id="rId65"/>
    <sheet name="VER SUR_Calendario" sheetId="67" r:id="rId66"/>
    <sheet name="ZAC" sheetId="70" r:id="rId67"/>
    <sheet name="ZAC_Calendario" sheetId="69" r:id="rId68"/>
    <sheet name="DF NTE" sheetId="72" r:id="rId69"/>
    <sheet name="DF NTE_Calendario" sheetId="71" r:id="rId70"/>
    <sheet name="DF SUR" sheetId="74" r:id="rId71"/>
    <sheet name="DF SUR_Calendario" sheetId="73" r:id="rId72"/>
    <sheet name="AVANCE060826" sheetId="5" r:id="rId73"/>
  </sheets>
  <externalReferences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</externalReferences>
  <definedNames>
    <definedName name="_xlnm._FilterDatabase" localSheetId="72" hidden="1">AVANCE060826!$A$9:$L$3163</definedName>
    <definedName name="_xlnm._FilterDatabase" localSheetId="16" hidden="1">CHIH!$L$10:$L$28</definedName>
    <definedName name="_xlnm._FilterDatabase" localSheetId="17" hidden="1">CHIH_Calendario!$B$11:$B$46</definedName>
    <definedName name="_xlnm._FilterDatabase" localSheetId="14" hidden="1">CHIS!$L$10:$L$24</definedName>
    <definedName name="_xlnm._FilterDatabase" localSheetId="15" hidden="1">CHIS_Calendario!$B$11:$U$38</definedName>
    <definedName name="_xlnm._FilterDatabase" localSheetId="10" hidden="1">COAH!$A$10:$M$22</definedName>
    <definedName name="_xlnm._FilterDatabase" localSheetId="11" hidden="1">COAH_Calendario!$B$12:$B$28</definedName>
    <definedName name="_xlnm._FilterDatabase" localSheetId="0" hidden="1">CONSOL!$H$9:$H$47</definedName>
    <definedName name="_xlnm._FilterDatabase" localSheetId="71" hidden="1">'DF SUR_Calendario'!$G$11:$G$20</definedName>
    <definedName name="_xlnm._FilterDatabase" localSheetId="20" hidden="1">DGO!$A$11:$A$27</definedName>
    <definedName name="_xlnm._FilterDatabase" localSheetId="21" hidden="1">DGO_Calendario!$B$12:$B$46</definedName>
    <definedName name="_xlnm._FilterDatabase" localSheetId="32" hidden="1">'EDO MEX PTE'!$A$10:$M$22</definedName>
    <definedName name="_xlnm._FilterDatabase" localSheetId="33" hidden="1">'EDO MEX PTE_Calendario'!$B$12:$B$35</definedName>
    <definedName name="_xlnm._FilterDatabase" localSheetId="25" hidden="1">GRO_Calendario!$B$12:$B$26</definedName>
    <definedName name="_xlnm._FilterDatabase" localSheetId="22" hidden="1">GTO!$L$10:$L$24</definedName>
    <definedName name="_xlnm._FilterDatabase" localSheetId="23" hidden="1">GTO_Calendario!$B$12:$B$38</definedName>
    <definedName name="_xlnm._FilterDatabase" localSheetId="28" hidden="1">JAL!$L$10:$L$46</definedName>
    <definedName name="_xlnm._FilterDatabase" localSheetId="29" hidden="1">JAL_Calendario!$B$13:$B$84</definedName>
    <definedName name="_xlnm._FilterDatabase" localSheetId="34" hidden="1">MICH!$L$10:$L$20</definedName>
    <definedName name="_xlnm._FilterDatabase" localSheetId="35" hidden="1">MICH_Calendario!$B$12:$B$29</definedName>
    <definedName name="_xlnm._FilterDatabase" localSheetId="42" hidden="1">OAX!$A$10:$M$32</definedName>
    <definedName name="_xlnm._FilterDatabase" localSheetId="43" hidden="1">OAX_Calendario!$B$12:$B$54</definedName>
    <definedName name="_xlnm._FilterDatabase" localSheetId="44" hidden="1">PUB!$L$10:$L$22</definedName>
    <definedName name="_xlnm._FilterDatabase" localSheetId="45" hidden="1">PUB_Calendario!$B$12:$B$35</definedName>
    <definedName name="_xlnm._FilterDatabase" localSheetId="48" hidden="1">'Q ROO'!$D$10:$M$16</definedName>
    <definedName name="_xlnm._FilterDatabase" localSheetId="46" hidden="1">QRO!#REF!</definedName>
    <definedName name="_xlnm._FilterDatabase" localSheetId="47" hidden="1">QRO_Calendario!$B$12:$B$26</definedName>
    <definedName name="_xlnm._FilterDatabase" localSheetId="52" hidden="1">SIN!$D$10:$M$26</definedName>
    <definedName name="_xlnm._FilterDatabase" localSheetId="53" hidden="1">SIN_Calendario!$B$12:$B$42</definedName>
    <definedName name="_xlnm._FilterDatabase" localSheetId="54" hidden="1">SON!$M$10:$M$29</definedName>
    <definedName name="_xlnm._FilterDatabase" localSheetId="55" hidden="1">SON_Calendario!$B$12:$B$48</definedName>
    <definedName name="_xlnm._FilterDatabase" localSheetId="58" hidden="1">TAMS!$L$10:$L$23</definedName>
    <definedName name="_xlnm._FilterDatabase" localSheetId="59" hidden="1">TAMS_Calendario!$B$12:$B$36</definedName>
    <definedName name="_xlnm._FilterDatabase" localSheetId="62" hidden="1">'VER NTE'!$M$10:$M$26</definedName>
    <definedName name="_xlnm._FilterDatabase" localSheetId="63" hidden="1">'VER NTE_Calendario'!$B$12:$B$37</definedName>
    <definedName name="_xlnm._FilterDatabase" localSheetId="64" hidden="1">'VER SUR'!$L$10:$L$23</definedName>
    <definedName name="_xlnm._FilterDatabase" localSheetId="65" hidden="1">'VER SUR_Calendario'!$B$12:$B$36</definedName>
    <definedName name="_xlnm._FilterDatabase" localSheetId="66" hidden="1">ZAC!$L$10:$L$21</definedName>
    <definedName name="_xlnm._FilterDatabase" localSheetId="67" hidden="1">ZAC_Calendario!$B$11:$U$34</definedName>
    <definedName name="_xlnm.Print_Area" localSheetId="1">'AGS '!$D$1:$N$20</definedName>
    <definedName name="_xlnm.Print_Area" localSheetId="3">'AGS CONT'!$C$1:$J$32</definedName>
    <definedName name="_xlnm.Print_Area" localSheetId="2">AGS_Calendario!$A$1:$V$30</definedName>
    <definedName name="_xlnm.Print_Area" localSheetId="4">BC!$C$1:$N$18</definedName>
    <definedName name="_xlnm.Print_Area" localSheetId="5">BC_Calendario!$D$1:$V$17</definedName>
    <definedName name="_xlnm.Print_Area" localSheetId="6">'BCS '!$C$1:$N$19</definedName>
    <definedName name="_xlnm.Print_Area" localSheetId="7">BCS_Calendario!$A$1:$V$25</definedName>
    <definedName name="_xlnm.Print_Area" localSheetId="8">CAM!$C$9:$N$13</definedName>
    <definedName name="_xlnm.Print_Area" localSheetId="9">CAM_Calendario!$C$1:$W$30</definedName>
    <definedName name="_xlnm.Print_Area" localSheetId="16">CHIH!$C$1:$N$29</definedName>
    <definedName name="_xlnm.Print_Area" localSheetId="17">CHIH_Calendario!$D$1:$U$46</definedName>
    <definedName name="_xlnm.Print_Area" localSheetId="14">CHIS!$D$1:$N$26</definedName>
    <definedName name="_xlnm.Print_Area" localSheetId="15">CHIS_Calendario!$D$1:$V$39</definedName>
    <definedName name="_xlnm.Print_Area" localSheetId="10">COAH!$C$1:$N$23</definedName>
    <definedName name="_xlnm.Print_Area" localSheetId="11">COAH_Calendario!$C$1:$V$40</definedName>
    <definedName name="_xlnm.Print_Area" localSheetId="12">COL!$C$1:$O$19</definedName>
    <definedName name="_xlnm.Print_Area" localSheetId="13">COL_Calendario!$C$1:$V$38</definedName>
    <definedName name="_xlnm.Print_Area" localSheetId="0">CONSOL!$A$1:$I$52</definedName>
    <definedName name="_xlnm.Print_Area" localSheetId="68">'DF NTE'!$C$1:$N$14</definedName>
    <definedName name="_xlnm.Print_Area" localSheetId="69">'DF NTE_Calendario'!$C$1:$V$32</definedName>
    <definedName name="_xlnm.Print_Area" localSheetId="70">'DF SUR'!$C$1:$M$17</definedName>
    <definedName name="_xlnm.Print_Area" localSheetId="71">'DF SUR_Calendario'!$C$1:$V$31</definedName>
    <definedName name="_xlnm.Print_Area" localSheetId="20">DGO!$D$1:$N$28</definedName>
    <definedName name="_xlnm.Print_Area" localSheetId="21">DGO_Calendario!$D$1:$V$54</definedName>
    <definedName name="_xlnm.Print_Area" localSheetId="30">'EDO MEX OTE'!$C$1:$N$15</definedName>
    <definedName name="_xlnm.Print_Area" localSheetId="31">'EDO MEX OTE_Calendario'!$C$1:$V$29</definedName>
    <definedName name="_xlnm.Print_Area" localSheetId="32">'EDO MEX PTE'!$C$1:$N$24</definedName>
    <definedName name="_xlnm.Print_Area" localSheetId="33">'EDO MEX PTE_Calendario'!$D$1:$V$44</definedName>
    <definedName name="_xlnm.Print_Area" localSheetId="24">GRO!$C$1:$N$20</definedName>
    <definedName name="_xlnm.Print_Area" localSheetId="25">GRO_Calendario!$C$1:$V$37</definedName>
    <definedName name="_xlnm.Print_Area" localSheetId="22">GTO!$C$1:$M$25</definedName>
    <definedName name="_xlnm.Print_Area" localSheetId="23">GTO_Calendario!$C$1:$V$48</definedName>
    <definedName name="_xlnm.Print_Area" localSheetId="26">HGO!$C$1:$N$17</definedName>
    <definedName name="_xlnm.Print_Area" localSheetId="27">HGO_Calendario!$C$1:$V$36</definedName>
    <definedName name="_xlnm.Print_Area" localSheetId="28">JAL!$C$4:$M$47</definedName>
    <definedName name="_xlnm.Print_Area" localSheetId="29">JAL_Calendario!$D$2:$U$86</definedName>
    <definedName name="_xlnm.Print_Area" localSheetId="34">MICH!$C$1:$M$21</definedName>
    <definedName name="_xlnm.Print_Area" localSheetId="35">MICH_Calendario!$C$1:$V$38</definedName>
    <definedName name="_xlnm.Print_Area" localSheetId="36">MOR!$C$1:$N$18</definedName>
    <definedName name="_xlnm.Print_Area" localSheetId="37">MOR_Calendario!$C$1:$V$36</definedName>
    <definedName name="_xlnm.Print_Area" localSheetId="38">NAY!$C$1:$N$16</definedName>
    <definedName name="_xlnm.Print_Area" localSheetId="39">NAY_Calendario!$D$1:$V$33</definedName>
    <definedName name="_xlnm.Print_Area" localSheetId="18">NC!$C$1:$N$21</definedName>
    <definedName name="_xlnm.Print_Area" localSheetId="19">NC_Calendario!$C$1:$V$28</definedName>
    <definedName name="_xlnm.Print_Area" localSheetId="40">NL!$C$9:$N$18</definedName>
    <definedName name="_xlnm.Print_Area" localSheetId="41">NL_Calendario!$C$1:$V$35</definedName>
    <definedName name="_xlnm.Print_Area" localSheetId="42">OAX!$C$9:$N$32</definedName>
    <definedName name="_xlnm.Print_Area" localSheetId="44">PUB!$C$1:$M$23</definedName>
    <definedName name="_xlnm.Print_Area" localSheetId="45">PUB_Calendario!$C$1:$V$35</definedName>
    <definedName name="_xlnm.Print_Area" localSheetId="48">'Q ROO'!$C$1:$N$17</definedName>
    <definedName name="_xlnm.Print_Area" localSheetId="49">'Q ROO_Calendario'!$C$1:$V$36</definedName>
    <definedName name="_xlnm.Print_Area" localSheetId="46">QRO!$C$1:$M$21</definedName>
    <definedName name="_xlnm.Print_Area" localSheetId="47">QRO_Calendario!$C$1:$V$37</definedName>
    <definedName name="_xlnm.Print_Area" localSheetId="52">SIN!$D$1:$M$27</definedName>
    <definedName name="_xlnm.Print_Area" localSheetId="53">SIN_Calendario!$D$1:$U$45</definedName>
    <definedName name="_xlnm.Print_Area" localSheetId="50">SLP!$C$1:$M$18</definedName>
    <definedName name="_xlnm.Print_Area" localSheetId="51">SLP_Calendario!$C$1:$V$27</definedName>
    <definedName name="_xlnm.Print_Area" localSheetId="54">SON!$C$1:$M$30</definedName>
    <definedName name="_xlnm.Print_Area" localSheetId="55">SON_Calendario!$D$1:$U$58</definedName>
    <definedName name="_xlnm.Print_Area" localSheetId="56">TAB!$C$1:$N$14</definedName>
    <definedName name="_xlnm.Print_Area" localSheetId="58">TAMS!$C$1:$N$24</definedName>
    <definedName name="_xlnm.Print_Area" localSheetId="59">TAMS_Calendario!$C$1:$V$46</definedName>
    <definedName name="_xlnm.Print_Area" localSheetId="60">TLAX!$C$1:$N$16</definedName>
    <definedName name="_xlnm.Print_Area" localSheetId="61">TLAX_Calendario!$C$1:$V$19</definedName>
    <definedName name="_xlnm.Print_Area" localSheetId="62">'VER NTE'!$D$1:$N$26</definedName>
    <definedName name="_xlnm.Print_Area" localSheetId="63">'VER NTE_Calendario'!$C$1:$V$46</definedName>
    <definedName name="_xlnm.Print_Area" localSheetId="64">'VER SUR'!$C$1:$M$24</definedName>
    <definedName name="_xlnm.Print_Area" localSheetId="66">ZAC!$C$1:$P$22</definedName>
    <definedName name="_xlnm.Print_Area" localSheetId="67">ZAC_Calendario!$C$1:$V$45</definedName>
    <definedName name="Base">AVANCE060826!$A$10:$L$3170</definedName>
    <definedName name="_xlnm.Print_Titles" localSheetId="1">'AGS '!$1:$6</definedName>
    <definedName name="_xlnm.Print_Titles" localSheetId="3">'AGS CONT'!$1:$6</definedName>
    <definedName name="_xlnm.Print_Titles" localSheetId="2">AGS_Calendario!$1:$6</definedName>
    <definedName name="_xlnm.Print_Titles" localSheetId="4">BC!$1:$6</definedName>
    <definedName name="_xlnm.Print_Titles" localSheetId="5">BC_Calendario!$1:$6</definedName>
    <definedName name="_xlnm.Print_Titles" localSheetId="6">'BCS '!$1:$6</definedName>
    <definedName name="_xlnm.Print_Titles" localSheetId="7">BCS_Calendario!$1:$6</definedName>
    <definedName name="_xlnm.Print_Titles" localSheetId="8">CAM!$1:$6</definedName>
    <definedName name="_xlnm.Print_Titles" localSheetId="9">CAM_Calendario!$1:$6</definedName>
    <definedName name="_xlnm.Print_Titles" localSheetId="16">CHIH!$1:$11</definedName>
    <definedName name="_xlnm.Print_Titles" localSheetId="17">CHIH_Calendario!$1:$11</definedName>
    <definedName name="_xlnm.Print_Titles" localSheetId="14">CHIS!$1:$6</definedName>
    <definedName name="_xlnm.Print_Titles" localSheetId="15">CHIS_Calendario!$1:$6</definedName>
    <definedName name="_xlnm.Print_Titles" localSheetId="10">COAH!$1:$6</definedName>
    <definedName name="_xlnm.Print_Titles" localSheetId="11">COAH_Calendario!$1:$6</definedName>
    <definedName name="_xlnm.Print_Titles" localSheetId="12">COL!$1:$6</definedName>
    <definedName name="_xlnm.Print_Titles" localSheetId="13">COL_Calendario!$1:$6</definedName>
    <definedName name="_xlnm.Print_Titles" localSheetId="0">CONSOL!$1:$10</definedName>
    <definedName name="_xlnm.Print_Titles" localSheetId="68">'DF NTE'!$1:$6</definedName>
    <definedName name="_xlnm.Print_Titles" localSheetId="69">'DF NTE_Calendario'!$1:$8</definedName>
    <definedName name="_xlnm.Print_Titles" localSheetId="70">'DF SUR'!$1:$6</definedName>
    <definedName name="_xlnm.Print_Titles" localSheetId="71">'DF SUR_Calendario'!$1:$6</definedName>
    <definedName name="_xlnm.Print_Titles" localSheetId="20">DGO!$1:$11</definedName>
    <definedName name="_xlnm.Print_Titles" localSheetId="21">DGO_Calendario!$1:$12</definedName>
    <definedName name="_xlnm.Print_Titles" localSheetId="30">'EDO MEX OTE'!$1:$6</definedName>
    <definedName name="_xlnm.Print_Titles" localSheetId="31">'EDO MEX OTE_Calendario'!$1:$6</definedName>
    <definedName name="_xlnm.Print_Titles" localSheetId="32">'EDO MEX PTE'!$1:$6</definedName>
    <definedName name="_xlnm.Print_Titles" localSheetId="33">'EDO MEX PTE_Calendario'!$1:$6</definedName>
    <definedName name="_xlnm.Print_Titles" localSheetId="24">GRO!$1:$6</definedName>
    <definedName name="_xlnm.Print_Titles" localSheetId="25">GRO_Calendario!$1:$6</definedName>
    <definedName name="_xlnm.Print_Titles" localSheetId="22">GTO!$1:$6</definedName>
    <definedName name="_xlnm.Print_Titles" localSheetId="23">GTO_Calendario!$1:$6</definedName>
    <definedName name="_xlnm.Print_Titles" localSheetId="26">HGO!$1:$6</definedName>
    <definedName name="_xlnm.Print_Titles" localSheetId="27">HGO_Calendario!$1:$6</definedName>
    <definedName name="_xlnm.Print_Titles" localSheetId="28">JAL!$1:$11</definedName>
    <definedName name="_xlnm.Print_Titles" localSheetId="29">JAL_Calendario!$2:$13</definedName>
    <definedName name="_xlnm.Print_Titles" localSheetId="34">MICH!$1:$6</definedName>
    <definedName name="_xlnm.Print_Titles" localSheetId="35">MICH_Calendario!$1:$6</definedName>
    <definedName name="_xlnm.Print_Titles" localSheetId="36">MOR!$1:$6</definedName>
    <definedName name="_xlnm.Print_Titles" localSheetId="37">MOR_Calendario!$1:$6</definedName>
    <definedName name="_xlnm.Print_Titles" localSheetId="38">NAY!$1:$6</definedName>
    <definedName name="_xlnm.Print_Titles" localSheetId="39">NAY_Calendario!$1:$6</definedName>
    <definedName name="_xlnm.Print_Titles" localSheetId="18">NC!$1:$6</definedName>
    <definedName name="_xlnm.Print_Titles" localSheetId="19">NC_Calendario!$1:$6</definedName>
    <definedName name="_xlnm.Print_Titles" localSheetId="40">NL!$1:$9</definedName>
    <definedName name="_xlnm.Print_Titles" localSheetId="41">NL_Calendario!$1:$6</definedName>
    <definedName name="_xlnm.Print_Titles" localSheetId="42">OAX!$1:$9</definedName>
    <definedName name="_xlnm.Print_Titles" localSheetId="43">OAX_Calendario!$1:$6</definedName>
    <definedName name="_xlnm.Print_Titles" localSheetId="44">PUB!$1:$6</definedName>
    <definedName name="_xlnm.Print_Titles" localSheetId="45">PUB_Calendario!$1:$6</definedName>
    <definedName name="_xlnm.Print_Titles" localSheetId="48">'Q ROO'!$1:$6</definedName>
    <definedName name="_xlnm.Print_Titles" localSheetId="49">'Q ROO_Calendario'!$1:$6</definedName>
    <definedName name="_xlnm.Print_Titles" localSheetId="46">QRO!$1:$6</definedName>
    <definedName name="_xlnm.Print_Titles" localSheetId="47">QRO_Calendario!$1:$6</definedName>
    <definedName name="_xlnm.Print_Titles" localSheetId="52">SIN!$1:$11</definedName>
    <definedName name="_xlnm.Print_Titles" localSheetId="53">SIN_Calendario!$1:$12</definedName>
    <definedName name="_xlnm.Print_Titles" localSheetId="50">SLP!$1:$6</definedName>
    <definedName name="_xlnm.Print_Titles" localSheetId="51">SLP_Calendario!$1:$6</definedName>
    <definedName name="_xlnm.Print_Titles" localSheetId="54">SON!$1:$11</definedName>
    <definedName name="_xlnm.Print_Titles" localSheetId="55">SON_Calendario!$1:$12</definedName>
    <definedName name="_xlnm.Print_Titles" localSheetId="56">TAB!$1:$6</definedName>
    <definedName name="_xlnm.Print_Titles" localSheetId="57">TAB_Calendario!$1:$6</definedName>
    <definedName name="_xlnm.Print_Titles" localSheetId="58">TAMS!$1:$6</definedName>
    <definedName name="_xlnm.Print_Titles" localSheetId="59">TAMS_Calendario!$1:$6</definedName>
    <definedName name="_xlnm.Print_Titles" localSheetId="60">TLAX!$1:$6</definedName>
    <definedName name="_xlnm.Print_Titles" localSheetId="61">TLAX_Calendario!$1:$6</definedName>
    <definedName name="_xlnm.Print_Titles" localSheetId="62">'VER NTE'!$1:$6</definedName>
    <definedName name="_xlnm.Print_Titles" localSheetId="63">'VER NTE_Calendario'!$1:$6</definedName>
    <definedName name="_xlnm.Print_Titles" localSheetId="64">'VER SUR'!$1:$11</definedName>
    <definedName name="_xlnm.Print_Titles" localSheetId="65">'VER SUR_Calendario'!$1:$6</definedName>
    <definedName name="_xlnm.Print_Titles" localSheetId="66">ZAC!$1:$6</definedName>
    <definedName name="_xlnm.Print_Titles" localSheetId="67">ZAC_Calendario!$1:$6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69" i="5" l="1"/>
  <c r="A3170" i="5"/>
  <c r="A3168" i="5" l="1"/>
  <c r="A3167" i="5"/>
  <c r="A3166" i="5"/>
  <c r="A3165" i="5"/>
  <c r="A3164" i="5"/>
  <c r="A3163" i="5"/>
  <c r="A3162" i="5"/>
  <c r="A3161" i="5"/>
  <c r="A3160" i="5"/>
  <c r="A3159" i="5"/>
  <c r="A3158" i="5"/>
  <c r="A3157" i="5"/>
  <c r="A3156" i="5"/>
  <c r="A3155" i="5"/>
  <c r="A3154" i="5"/>
  <c r="A3153" i="5"/>
  <c r="A3152" i="5"/>
  <c r="A3151" i="5"/>
  <c r="A3150" i="5"/>
  <c r="A3149" i="5"/>
  <c r="A3148" i="5"/>
  <c r="A3147" i="5"/>
  <c r="A3146" i="5"/>
  <c r="A3145" i="5"/>
  <c r="A3144" i="5"/>
  <c r="A3143" i="5"/>
  <c r="A3142" i="5"/>
  <c r="A3141" i="5"/>
  <c r="A3140" i="5"/>
  <c r="A3139" i="5"/>
  <c r="A3138" i="5"/>
  <c r="A3137" i="5"/>
  <c r="A3136" i="5"/>
  <c r="A3135" i="5"/>
  <c r="A3134" i="5"/>
  <c r="A3133" i="5"/>
  <c r="A3132" i="5"/>
  <c r="A3131" i="5"/>
  <c r="A3130" i="5"/>
  <c r="A3129" i="5"/>
  <c r="A3128" i="5"/>
  <c r="A3127" i="5"/>
  <c r="A3126" i="5"/>
  <c r="A3125" i="5"/>
  <c r="A3124" i="5"/>
  <c r="A3123" i="5"/>
  <c r="A3122" i="5"/>
  <c r="A3121" i="5"/>
  <c r="A3120" i="5"/>
  <c r="A3119" i="5"/>
  <c r="A3118" i="5"/>
  <c r="A3117" i="5"/>
  <c r="A3116" i="5"/>
  <c r="A3115" i="5"/>
  <c r="A3114" i="5"/>
  <c r="A3113" i="5"/>
  <c r="A3112" i="5"/>
  <c r="A3111" i="5"/>
  <c r="A3110" i="5"/>
  <c r="A3109" i="5"/>
  <c r="A3108" i="5"/>
  <c r="A3107" i="5"/>
  <c r="A3106" i="5"/>
  <c r="A3105" i="5"/>
  <c r="A3104" i="5"/>
  <c r="A3103" i="5"/>
  <c r="A3102" i="5"/>
  <c r="A3101" i="5"/>
  <c r="A3100" i="5"/>
  <c r="A3099" i="5"/>
  <c r="A3098" i="5"/>
  <c r="A3097" i="5"/>
  <c r="A3096" i="5"/>
  <c r="A3095" i="5"/>
  <c r="A3094" i="5"/>
  <c r="A3093" i="5"/>
  <c r="A3092" i="5"/>
  <c r="A3091" i="5"/>
  <c r="A3090" i="5"/>
  <c r="A3089" i="5"/>
  <c r="A3088" i="5"/>
  <c r="A3087" i="5"/>
  <c r="A3086" i="5"/>
  <c r="A3085" i="5"/>
  <c r="A3084" i="5"/>
  <c r="A3083" i="5"/>
  <c r="A3082" i="5"/>
  <c r="A3081" i="5"/>
  <c r="A3080" i="5"/>
  <c r="A3079" i="5"/>
  <c r="A3078" i="5"/>
  <c r="A3077" i="5"/>
  <c r="A3076" i="5"/>
  <c r="A3075" i="5"/>
  <c r="A3074" i="5"/>
  <c r="A3073" i="5"/>
  <c r="A3072" i="5"/>
  <c r="A3071" i="5"/>
  <c r="A3070" i="5"/>
  <c r="A3069" i="5"/>
  <c r="A3068" i="5"/>
  <c r="A3067" i="5"/>
  <c r="A3066" i="5"/>
  <c r="A3065" i="5"/>
  <c r="A3064" i="5"/>
  <c r="A3063" i="5"/>
  <c r="A3062" i="5"/>
  <c r="A3061" i="5"/>
  <c r="A3060" i="5"/>
  <c r="A3059" i="5"/>
  <c r="A3058" i="5"/>
  <c r="A3057" i="5"/>
  <c r="A3056" i="5"/>
  <c r="A3055" i="5"/>
  <c r="A3054" i="5"/>
  <c r="A3053" i="5"/>
  <c r="A3052" i="5"/>
  <c r="A3051" i="5"/>
  <c r="A3050" i="5"/>
  <c r="A3049" i="5"/>
  <c r="A3048" i="5"/>
  <c r="A3047" i="5"/>
  <c r="A3046" i="5"/>
  <c r="A3045" i="5"/>
  <c r="A3044" i="5"/>
  <c r="A3043" i="5"/>
  <c r="A3042" i="5"/>
  <c r="A3041" i="5"/>
  <c r="A3040" i="5"/>
  <c r="A3039" i="5"/>
  <c r="A3038" i="5"/>
  <c r="A3037" i="5"/>
  <c r="A3036" i="5"/>
  <c r="A3035" i="5"/>
  <c r="A3034" i="5"/>
  <c r="A3033" i="5"/>
  <c r="A3032" i="5"/>
  <c r="A3031" i="5"/>
  <c r="A3030" i="5"/>
  <c r="A3029" i="5"/>
  <c r="A3028" i="5"/>
  <c r="A3027" i="5"/>
  <c r="A3026" i="5"/>
  <c r="A3025" i="5"/>
  <c r="A3024" i="5"/>
  <c r="A3023" i="5"/>
  <c r="A3022" i="5"/>
  <c r="A3021" i="5"/>
  <c r="A3020" i="5"/>
  <c r="A3019" i="5"/>
  <c r="A3018" i="5"/>
  <c r="A3017" i="5"/>
  <c r="A3016" i="5"/>
  <c r="A3015" i="5"/>
  <c r="A3014" i="5"/>
  <c r="A3013" i="5"/>
  <c r="A3012" i="5"/>
  <c r="A3011" i="5"/>
  <c r="A3010" i="5"/>
  <c r="A3009" i="5"/>
  <c r="A3008" i="5"/>
  <c r="A3007" i="5"/>
  <c r="A3006" i="5"/>
  <c r="A3005" i="5"/>
  <c r="A3004" i="5"/>
  <c r="A3003" i="5"/>
  <c r="A3002" i="5"/>
  <c r="A3001" i="5"/>
  <c r="A3000" i="5"/>
  <c r="A2999" i="5"/>
  <c r="A2998" i="5"/>
  <c r="A2997" i="5"/>
  <c r="A2996" i="5"/>
  <c r="A2995" i="5"/>
  <c r="A2994" i="5"/>
  <c r="A2993" i="5"/>
  <c r="A2992" i="5"/>
  <c r="A2991" i="5"/>
  <c r="A2990" i="5"/>
  <c r="A2989" i="5"/>
  <c r="A2988" i="5"/>
  <c r="A2987" i="5"/>
  <c r="A2986" i="5"/>
  <c r="A2985" i="5"/>
  <c r="A2984" i="5"/>
  <c r="A2983" i="5"/>
  <c r="A2982" i="5"/>
  <c r="A2981" i="5"/>
  <c r="A2980" i="5"/>
  <c r="A2979" i="5"/>
  <c r="A2978" i="5"/>
  <c r="A2977" i="5"/>
  <c r="A2976" i="5"/>
  <c r="A2975" i="5"/>
  <c r="A2974" i="5"/>
  <c r="A2973" i="5"/>
  <c r="A2972" i="5"/>
  <c r="A2971" i="5"/>
  <c r="A2970" i="5"/>
  <c r="A2969" i="5"/>
  <c r="A2968" i="5"/>
  <c r="A2967" i="5"/>
  <c r="A2966" i="5"/>
  <c r="A2965" i="5"/>
  <c r="A2964" i="5"/>
  <c r="A2963" i="5"/>
  <c r="A2962" i="5"/>
  <c r="A2961" i="5"/>
  <c r="A2960" i="5"/>
  <c r="A2959" i="5"/>
  <c r="A2958" i="5"/>
  <c r="A2957" i="5"/>
  <c r="A2956" i="5"/>
  <c r="A2955" i="5"/>
  <c r="A2954" i="5"/>
  <c r="A2953" i="5"/>
  <c r="A2952" i="5"/>
  <c r="A2951" i="5"/>
  <c r="A2950" i="5"/>
  <c r="A2949" i="5"/>
  <c r="A2948" i="5"/>
  <c r="A2947" i="5"/>
  <c r="A2946" i="5"/>
  <c r="A2945" i="5"/>
  <c r="A2944" i="5"/>
  <c r="A2943" i="5"/>
  <c r="A2942" i="5"/>
  <c r="A2941" i="5"/>
  <c r="A2940" i="5"/>
  <c r="A2939" i="5"/>
  <c r="A2938" i="5"/>
  <c r="A2937" i="5"/>
  <c r="A2936" i="5"/>
  <c r="A2935" i="5"/>
  <c r="A2934" i="5"/>
  <c r="A2933" i="5"/>
  <c r="A2932" i="5"/>
  <c r="A2931" i="5"/>
  <c r="A2930" i="5"/>
  <c r="A2929" i="5"/>
  <c r="A2928" i="5"/>
  <c r="A2927" i="5"/>
  <c r="A2926" i="5"/>
  <c r="A2925" i="5"/>
  <c r="A2924" i="5"/>
  <c r="A2923" i="5"/>
  <c r="A2922" i="5"/>
  <c r="A2921" i="5"/>
  <c r="A2920" i="5"/>
  <c r="A2919" i="5"/>
  <c r="A2918" i="5"/>
  <c r="A2917" i="5"/>
  <c r="A2916" i="5"/>
  <c r="A2915" i="5"/>
  <c r="A2914" i="5"/>
  <c r="A2913" i="5"/>
  <c r="A2912" i="5"/>
  <c r="A2911" i="5"/>
  <c r="A2910" i="5"/>
  <c r="A2909" i="5"/>
  <c r="A2908" i="5"/>
  <c r="A2907" i="5"/>
  <c r="A2906" i="5"/>
  <c r="A2905" i="5"/>
  <c r="A2904" i="5"/>
  <c r="A2903" i="5"/>
  <c r="A2902" i="5"/>
  <c r="A2901" i="5"/>
  <c r="A2900" i="5"/>
  <c r="A2899" i="5"/>
  <c r="A2898" i="5"/>
  <c r="A2897" i="5"/>
  <c r="A2896" i="5"/>
  <c r="A2895" i="5"/>
  <c r="A2894" i="5"/>
  <c r="A2893" i="5"/>
  <c r="A2892" i="5"/>
  <c r="A2891" i="5"/>
  <c r="A2890" i="5"/>
  <c r="A2889" i="5"/>
  <c r="A2888" i="5"/>
  <c r="A2887" i="5"/>
  <c r="A2886" i="5"/>
  <c r="A2885" i="5"/>
  <c r="A2884" i="5"/>
  <c r="A2883" i="5"/>
  <c r="A2882" i="5"/>
  <c r="A2881" i="5"/>
  <c r="A2880" i="5"/>
  <c r="A2879" i="5"/>
  <c r="A2878" i="5"/>
  <c r="A2877" i="5"/>
  <c r="A2876" i="5"/>
  <c r="A2875" i="5"/>
  <c r="A2874" i="5"/>
  <c r="A2873" i="5"/>
  <c r="A2872" i="5"/>
  <c r="A2871" i="5"/>
  <c r="A2870" i="5"/>
  <c r="A2869" i="5"/>
  <c r="A2868" i="5"/>
  <c r="A2867" i="5"/>
  <c r="A2866" i="5"/>
  <c r="A2865" i="5"/>
  <c r="A2864" i="5"/>
  <c r="A2863" i="5"/>
  <c r="A2862" i="5"/>
  <c r="A2861" i="5"/>
  <c r="A2860" i="5"/>
  <c r="A2859" i="5"/>
  <c r="A2858" i="5"/>
  <c r="A2857" i="5"/>
  <c r="A2856" i="5"/>
  <c r="A2855" i="5"/>
  <c r="A2854" i="5"/>
  <c r="A2853" i="5"/>
  <c r="A2852" i="5"/>
  <c r="A2851" i="5"/>
  <c r="A2850" i="5"/>
  <c r="A2849" i="5"/>
  <c r="A2848" i="5"/>
  <c r="A2847" i="5"/>
  <c r="A2846" i="5"/>
  <c r="A2845" i="5"/>
  <c r="A2844" i="5"/>
  <c r="A2843" i="5"/>
  <c r="A2842" i="5"/>
  <c r="A2841" i="5"/>
  <c r="A2840" i="5"/>
  <c r="A2839" i="5"/>
  <c r="A2838" i="5"/>
  <c r="A2837" i="5"/>
  <c r="A2836" i="5"/>
  <c r="A2835" i="5"/>
  <c r="A2834" i="5"/>
  <c r="A2833" i="5"/>
  <c r="A2832" i="5"/>
  <c r="A2831" i="5"/>
  <c r="A2830" i="5"/>
  <c r="A2829" i="5"/>
  <c r="A2828" i="5"/>
  <c r="A2827" i="5"/>
  <c r="A2826" i="5"/>
  <c r="A2825" i="5"/>
  <c r="A2824" i="5"/>
  <c r="A2823" i="5"/>
  <c r="A2822" i="5"/>
  <c r="A2821" i="5"/>
  <c r="A2820" i="5"/>
  <c r="A2819" i="5"/>
  <c r="A2818" i="5"/>
  <c r="A2817" i="5"/>
  <c r="A2816" i="5"/>
  <c r="A2815" i="5"/>
  <c r="A2814" i="5"/>
  <c r="A2813" i="5"/>
  <c r="A2812" i="5"/>
  <c r="A2811" i="5"/>
  <c r="A2810" i="5"/>
  <c r="A2809" i="5"/>
  <c r="A2808" i="5"/>
  <c r="A2807" i="5"/>
  <c r="A2806" i="5"/>
  <c r="A2805" i="5"/>
  <c r="A2804" i="5"/>
  <c r="A2803" i="5"/>
  <c r="A2802" i="5"/>
  <c r="A2801" i="5"/>
  <c r="A2800" i="5"/>
  <c r="A2799" i="5"/>
  <c r="A2798" i="5"/>
  <c r="A2797" i="5"/>
  <c r="A2796" i="5"/>
  <c r="A2795" i="5"/>
  <c r="A2794" i="5"/>
  <c r="A2793" i="5"/>
  <c r="A2792" i="5"/>
  <c r="A2791" i="5"/>
  <c r="A2790" i="5"/>
  <c r="A2789" i="5"/>
  <c r="A2788" i="5"/>
  <c r="A2787" i="5"/>
  <c r="A2786" i="5"/>
  <c r="A2785" i="5"/>
  <c r="A2784" i="5"/>
  <c r="A2783" i="5"/>
  <c r="A2782" i="5"/>
  <c r="A2781" i="5"/>
  <c r="A2780" i="5"/>
  <c r="A2779" i="5"/>
  <c r="A2778" i="5"/>
  <c r="A2777" i="5"/>
  <c r="A2776" i="5"/>
  <c r="A2775" i="5"/>
  <c r="A2774" i="5"/>
  <c r="A2773" i="5"/>
  <c r="A2772" i="5"/>
  <c r="A2771" i="5"/>
  <c r="A2770" i="5"/>
  <c r="A2769" i="5"/>
  <c r="A2768" i="5"/>
  <c r="A2767" i="5"/>
  <c r="A2766" i="5"/>
  <c r="A2765" i="5"/>
  <c r="A2764" i="5"/>
  <c r="A2763" i="5"/>
  <c r="A2762" i="5"/>
  <c r="A2761" i="5"/>
  <c r="A2760" i="5"/>
  <c r="A2759" i="5"/>
  <c r="A2758" i="5"/>
  <c r="A2757" i="5"/>
  <c r="A2756" i="5"/>
  <c r="A2755" i="5"/>
  <c r="A2754" i="5"/>
  <c r="A2753" i="5"/>
  <c r="A2752" i="5"/>
  <c r="A2751" i="5"/>
  <c r="A2750" i="5"/>
  <c r="A2749" i="5"/>
  <c r="A2748" i="5"/>
  <c r="A2747" i="5"/>
  <c r="A2746" i="5"/>
  <c r="A2745" i="5"/>
  <c r="A2744" i="5"/>
  <c r="A2743" i="5"/>
  <c r="A2742" i="5"/>
  <c r="A2741" i="5"/>
  <c r="A2740" i="5"/>
  <c r="A2739" i="5"/>
  <c r="A2738" i="5"/>
  <c r="A2737" i="5"/>
  <c r="A2736" i="5"/>
  <c r="A2735" i="5"/>
  <c r="A2734" i="5"/>
  <c r="A2733" i="5"/>
  <c r="A2732" i="5"/>
  <c r="A2731" i="5"/>
  <c r="A2730" i="5"/>
  <c r="A2729" i="5"/>
  <c r="A2728" i="5"/>
  <c r="A2727" i="5"/>
  <c r="A2726" i="5"/>
  <c r="A2725" i="5"/>
  <c r="A2724" i="5"/>
  <c r="A2723" i="5"/>
  <c r="A2722" i="5"/>
  <c r="A2721" i="5"/>
  <c r="A2720" i="5"/>
  <c r="A2719" i="5"/>
  <c r="A2718" i="5"/>
  <c r="A2717" i="5"/>
  <c r="A2716" i="5"/>
  <c r="A2715" i="5"/>
  <c r="A2714" i="5"/>
  <c r="A2713" i="5"/>
  <c r="A2712" i="5"/>
  <c r="A2711" i="5"/>
  <c r="A2710" i="5"/>
  <c r="A2709" i="5"/>
  <c r="A2708" i="5"/>
  <c r="A2707" i="5"/>
  <c r="A2706" i="5"/>
  <c r="A2705" i="5"/>
  <c r="A2704" i="5"/>
  <c r="A2703" i="5"/>
  <c r="A2702" i="5"/>
  <c r="A2701" i="5"/>
  <c r="A2700" i="5"/>
  <c r="A2699" i="5"/>
  <c r="A2698" i="5"/>
  <c r="A2697" i="5"/>
  <c r="A2696" i="5"/>
  <c r="A2695" i="5"/>
  <c r="A2694" i="5"/>
  <c r="A2693" i="5"/>
  <c r="A2692" i="5"/>
  <c r="A2691" i="5"/>
  <c r="A2690" i="5"/>
  <c r="A2689" i="5"/>
  <c r="A2688" i="5"/>
  <c r="A2687" i="5"/>
  <c r="A2686" i="5"/>
  <c r="A2685" i="5"/>
  <c r="A2684" i="5"/>
  <c r="A2683" i="5"/>
  <c r="A2682" i="5"/>
  <c r="A2681" i="5"/>
  <c r="A2680" i="5"/>
  <c r="A2679" i="5"/>
  <c r="A2678" i="5"/>
  <c r="A2677" i="5"/>
  <c r="A2676" i="5"/>
  <c r="A2675" i="5"/>
  <c r="A2674" i="5"/>
  <c r="A2673" i="5"/>
  <c r="A2672" i="5"/>
  <c r="A2671" i="5"/>
  <c r="A2670" i="5"/>
  <c r="A2669" i="5"/>
  <c r="A2668" i="5"/>
  <c r="A2667" i="5"/>
  <c r="A2666" i="5"/>
  <c r="A2665" i="5"/>
  <c r="A2664" i="5"/>
  <c r="A2663" i="5"/>
  <c r="A2662" i="5"/>
  <c r="A2661" i="5"/>
  <c r="A2660" i="5"/>
  <c r="A2659" i="5"/>
  <c r="A2658" i="5"/>
  <c r="A2657" i="5"/>
  <c r="A2656" i="5"/>
  <c r="A2655" i="5"/>
  <c r="A2654" i="5"/>
  <c r="A2653" i="5"/>
  <c r="A2652" i="5"/>
  <c r="A2651" i="5"/>
  <c r="A2650" i="5"/>
  <c r="A2649" i="5"/>
  <c r="A2648" i="5"/>
  <c r="A2647" i="5"/>
  <c r="A2646" i="5"/>
  <c r="A2645" i="5"/>
  <c r="A2644" i="5"/>
  <c r="A2643" i="5"/>
  <c r="A2642" i="5"/>
  <c r="A2641" i="5"/>
  <c r="A2640" i="5"/>
  <c r="A2639" i="5"/>
  <c r="A2638" i="5"/>
  <c r="A2637" i="5"/>
  <c r="A2636" i="5"/>
  <c r="A2635" i="5"/>
  <c r="A2634" i="5"/>
  <c r="A2633" i="5"/>
  <c r="A2632" i="5"/>
  <c r="A2631" i="5"/>
  <c r="A2630" i="5"/>
  <c r="A2629" i="5"/>
  <c r="A2628" i="5"/>
  <c r="A2627" i="5"/>
  <c r="A2626" i="5"/>
  <c r="A2625" i="5"/>
  <c r="A2624" i="5"/>
  <c r="A2623" i="5"/>
  <c r="A2622" i="5"/>
  <c r="A2621" i="5"/>
  <c r="A2620" i="5"/>
  <c r="A2619" i="5"/>
  <c r="A2618" i="5"/>
  <c r="A2617" i="5"/>
  <c r="A2616" i="5"/>
  <c r="A2615" i="5"/>
  <c r="A2614" i="5"/>
  <c r="A2613" i="5"/>
  <c r="A2612" i="5"/>
  <c r="A2611" i="5"/>
  <c r="A2610" i="5"/>
  <c r="A2609" i="5"/>
  <c r="A2608" i="5"/>
  <c r="A2607" i="5"/>
  <c r="A2606" i="5"/>
  <c r="A2605" i="5"/>
  <c r="A2604" i="5"/>
  <c r="A2603" i="5"/>
  <c r="A2602" i="5"/>
  <c r="A2601" i="5"/>
  <c r="A2600" i="5"/>
  <c r="A2599" i="5"/>
  <c r="A2598" i="5"/>
  <c r="A2597" i="5"/>
  <c r="A2596" i="5"/>
  <c r="A2595" i="5"/>
  <c r="A2594" i="5"/>
  <c r="A2593" i="5"/>
  <c r="A2592" i="5"/>
  <c r="A2591" i="5"/>
  <c r="A2590" i="5"/>
  <c r="A2589" i="5"/>
  <c r="A2588" i="5"/>
  <c r="A2587" i="5"/>
  <c r="A2586" i="5"/>
  <c r="A2585" i="5"/>
  <c r="A2584" i="5"/>
  <c r="A2583" i="5"/>
  <c r="A2582" i="5"/>
  <c r="A2581" i="5"/>
  <c r="A2580" i="5"/>
  <c r="A2579" i="5"/>
  <c r="A2578" i="5"/>
  <c r="A2577" i="5"/>
  <c r="A2576" i="5"/>
  <c r="A2575" i="5"/>
  <c r="A2574" i="5"/>
  <c r="A2573" i="5"/>
  <c r="A2572" i="5"/>
  <c r="A2571" i="5"/>
  <c r="A2570" i="5"/>
  <c r="A2569" i="5"/>
  <c r="A2568" i="5"/>
  <c r="A2567" i="5"/>
  <c r="A2566" i="5"/>
  <c r="A2565" i="5"/>
  <c r="A2564" i="5"/>
  <c r="A2563" i="5"/>
  <c r="A2562" i="5"/>
  <c r="A2561" i="5"/>
  <c r="A2560" i="5"/>
  <c r="A2559" i="5"/>
  <c r="A2558" i="5"/>
  <c r="A2557" i="5"/>
  <c r="A2556" i="5"/>
  <c r="A2555" i="5"/>
  <c r="A2554" i="5"/>
  <c r="A2553" i="5"/>
  <c r="A2552" i="5"/>
  <c r="A2551" i="5"/>
  <c r="A2550" i="5"/>
  <c r="A2549" i="5"/>
  <c r="A2548" i="5"/>
  <c r="A2547" i="5"/>
  <c r="A2546" i="5"/>
  <c r="A2545" i="5"/>
  <c r="A2544" i="5"/>
  <c r="A2543" i="5"/>
  <c r="A2542" i="5"/>
  <c r="A2541" i="5"/>
  <c r="A2540" i="5"/>
  <c r="A2539" i="5"/>
  <c r="A2538" i="5"/>
  <c r="A2537" i="5"/>
  <c r="A2536" i="5"/>
  <c r="A2535" i="5"/>
  <c r="A2534" i="5"/>
  <c r="A2533" i="5"/>
  <c r="A2532" i="5"/>
  <c r="A2531" i="5"/>
  <c r="A2530" i="5"/>
  <c r="A2529" i="5"/>
  <c r="A2528" i="5"/>
  <c r="A2527" i="5"/>
  <c r="A2526" i="5"/>
  <c r="A2525" i="5"/>
  <c r="A2524" i="5"/>
  <c r="A2523" i="5"/>
  <c r="A2522" i="5"/>
  <c r="A2521" i="5"/>
  <c r="A2520" i="5"/>
  <c r="A2519" i="5"/>
  <c r="A2518" i="5"/>
  <c r="A2517" i="5"/>
  <c r="A2516" i="5"/>
  <c r="A2515" i="5"/>
  <c r="A2514" i="5"/>
  <c r="A2513" i="5"/>
  <c r="A2512" i="5"/>
  <c r="A2511" i="5"/>
  <c r="A2510" i="5"/>
  <c r="A2509" i="5"/>
  <c r="A2508" i="5"/>
  <c r="A2507" i="5"/>
  <c r="A2506" i="5"/>
  <c r="A2505" i="5"/>
  <c r="A2504" i="5"/>
  <c r="A2503" i="5"/>
  <c r="A2502" i="5"/>
  <c r="A2501" i="5"/>
  <c r="A2500" i="5"/>
  <c r="A2499" i="5"/>
  <c r="A2498" i="5"/>
  <c r="A2497" i="5"/>
  <c r="A2496" i="5"/>
  <c r="A2495" i="5"/>
  <c r="A2494" i="5"/>
  <c r="A2493" i="5"/>
  <c r="A2492" i="5"/>
  <c r="A2491" i="5"/>
  <c r="A2490" i="5"/>
  <c r="A2489" i="5"/>
  <c r="A2488" i="5"/>
  <c r="A2487" i="5"/>
  <c r="A2486" i="5"/>
  <c r="A2485" i="5"/>
  <c r="A2484" i="5"/>
  <c r="A2483" i="5"/>
  <c r="A2482" i="5"/>
  <c r="A2481" i="5"/>
  <c r="A2480" i="5"/>
  <c r="A2479" i="5"/>
  <c r="A2478" i="5"/>
  <c r="A2477" i="5"/>
  <c r="A2476" i="5"/>
  <c r="A2475" i="5"/>
  <c r="A2474" i="5"/>
  <c r="A2473" i="5"/>
  <c r="A2472" i="5"/>
  <c r="A2471" i="5"/>
  <c r="A2470" i="5"/>
  <c r="A2469" i="5"/>
  <c r="A2468" i="5"/>
  <c r="A2467" i="5"/>
  <c r="A2466" i="5"/>
  <c r="A2465" i="5"/>
  <c r="A2464" i="5"/>
  <c r="A2463" i="5"/>
  <c r="A2462" i="5"/>
  <c r="A2461" i="5"/>
  <c r="A2460" i="5"/>
  <c r="A2459" i="5"/>
  <c r="A2458" i="5"/>
  <c r="A2457" i="5"/>
  <c r="A2456" i="5"/>
  <c r="A2455" i="5"/>
  <c r="A2454" i="5"/>
  <c r="A2453" i="5"/>
  <c r="A2452" i="5"/>
  <c r="A2451" i="5"/>
  <c r="A2450" i="5"/>
  <c r="A2449" i="5"/>
  <c r="A2448" i="5"/>
  <c r="A2447" i="5"/>
  <c r="A2446" i="5"/>
  <c r="A2445" i="5"/>
  <c r="A2444" i="5"/>
  <c r="A2443" i="5"/>
  <c r="A2442" i="5"/>
  <c r="A2441" i="5"/>
  <c r="A2440" i="5"/>
  <c r="A2439" i="5"/>
  <c r="A2438" i="5"/>
  <c r="A2437" i="5"/>
  <c r="A2436" i="5"/>
  <c r="A2435" i="5"/>
  <c r="A2434" i="5"/>
  <c r="A2433" i="5"/>
  <c r="A2432" i="5"/>
  <c r="A2431" i="5"/>
  <c r="A2430" i="5"/>
  <c r="A2429" i="5"/>
  <c r="A2428" i="5"/>
  <c r="A2427" i="5"/>
  <c r="A2426" i="5"/>
  <c r="A2425" i="5"/>
  <c r="A2424" i="5"/>
  <c r="A2423" i="5"/>
  <c r="A2422" i="5"/>
  <c r="A2421" i="5"/>
  <c r="A2420" i="5"/>
  <c r="A2419" i="5"/>
  <c r="A2418" i="5"/>
  <c r="A2417" i="5"/>
  <c r="A2416" i="5"/>
  <c r="A2415" i="5"/>
  <c r="A2414" i="5"/>
  <c r="A2413" i="5"/>
  <c r="A2412" i="5"/>
  <c r="A2411" i="5"/>
  <c r="A2410" i="5"/>
  <c r="A2409" i="5"/>
  <c r="A2408" i="5"/>
  <c r="A2407" i="5"/>
  <c r="A2406" i="5"/>
  <c r="A2405" i="5"/>
  <c r="A2404" i="5"/>
  <c r="A2403" i="5"/>
  <c r="A2402" i="5"/>
  <c r="A2401" i="5"/>
  <c r="A2400" i="5"/>
  <c r="A2399" i="5"/>
  <c r="A2398" i="5"/>
  <c r="A2397" i="5"/>
  <c r="A2396" i="5"/>
  <c r="A2395" i="5"/>
  <c r="A2394" i="5"/>
  <c r="A2393" i="5"/>
  <c r="A2392" i="5"/>
  <c r="A2391" i="5"/>
  <c r="A2390" i="5"/>
  <c r="A2389" i="5"/>
  <c r="A2388" i="5"/>
  <c r="A2387" i="5"/>
  <c r="A2386" i="5"/>
  <c r="A2385" i="5"/>
  <c r="A2384" i="5"/>
  <c r="A2383" i="5"/>
  <c r="A2382" i="5"/>
  <c r="A2381" i="5"/>
  <c r="A2380" i="5"/>
  <c r="A2379" i="5"/>
  <c r="A2378" i="5"/>
  <c r="A2377" i="5"/>
  <c r="A2376" i="5"/>
  <c r="A2375" i="5"/>
  <c r="A2374" i="5"/>
  <c r="A2373" i="5"/>
  <c r="A2372" i="5"/>
  <c r="A2371" i="5"/>
  <c r="A2370" i="5"/>
  <c r="A2369" i="5"/>
  <c r="A2368" i="5"/>
  <c r="A2367" i="5"/>
  <c r="A2366" i="5"/>
  <c r="A2365" i="5"/>
  <c r="A2364" i="5"/>
  <c r="A2363" i="5"/>
  <c r="A2362" i="5"/>
  <c r="A2361" i="5"/>
  <c r="A2360" i="5"/>
  <c r="A2359" i="5"/>
  <c r="A2358" i="5"/>
  <c r="A2357" i="5"/>
  <c r="A2356" i="5"/>
  <c r="A2355" i="5"/>
  <c r="A2354" i="5"/>
  <c r="A2353" i="5"/>
  <c r="A2352" i="5"/>
  <c r="A2351" i="5"/>
  <c r="A2350" i="5"/>
  <c r="A2349" i="5"/>
  <c r="A2348" i="5"/>
  <c r="A2347" i="5"/>
  <c r="A2346" i="5"/>
  <c r="A2345" i="5"/>
  <c r="A2344" i="5"/>
  <c r="A2343" i="5"/>
  <c r="A2342" i="5"/>
  <c r="A2341" i="5"/>
  <c r="A2340" i="5"/>
  <c r="A2339" i="5"/>
  <c r="A2338" i="5"/>
  <c r="A2337" i="5"/>
  <c r="A2336" i="5"/>
  <c r="A2335" i="5"/>
  <c r="A2334" i="5"/>
  <c r="A2333" i="5"/>
  <c r="A2332" i="5"/>
  <c r="A2331" i="5"/>
  <c r="A2330" i="5"/>
  <c r="A2329" i="5"/>
  <c r="A2328" i="5"/>
  <c r="A2327" i="5"/>
  <c r="A2326" i="5"/>
  <c r="A2325" i="5"/>
  <c r="A2324" i="5"/>
  <c r="A2323" i="5"/>
  <c r="A2322" i="5"/>
  <c r="A2321" i="5"/>
  <c r="A2320" i="5"/>
  <c r="A2319" i="5"/>
  <c r="A2318" i="5"/>
  <c r="A2317" i="5"/>
  <c r="A2316" i="5"/>
  <c r="A2315" i="5"/>
  <c r="A2314" i="5"/>
  <c r="A2313" i="5"/>
  <c r="A2312" i="5"/>
  <c r="A2311" i="5"/>
  <c r="A2310" i="5"/>
  <c r="A2309" i="5"/>
  <c r="A2308" i="5"/>
  <c r="A2307" i="5"/>
  <c r="A2306" i="5"/>
  <c r="A2305" i="5"/>
  <c r="A2304" i="5"/>
  <c r="A2303" i="5"/>
  <c r="A2302" i="5"/>
  <c r="A2301" i="5"/>
  <c r="A2300" i="5"/>
  <c r="A2299" i="5"/>
  <c r="A2298" i="5"/>
  <c r="A2297" i="5"/>
  <c r="A2296" i="5"/>
  <c r="A2295" i="5"/>
  <c r="A2294" i="5"/>
  <c r="A2293" i="5"/>
  <c r="A2292" i="5"/>
  <c r="A2291" i="5"/>
  <c r="A2290" i="5"/>
  <c r="A2289" i="5"/>
  <c r="A2288" i="5"/>
  <c r="A2287" i="5"/>
  <c r="A2286" i="5"/>
  <c r="A2285" i="5"/>
  <c r="A2284" i="5"/>
  <c r="A2283" i="5"/>
  <c r="A2282" i="5"/>
  <c r="A2281" i="5"/>
  <c r="A2280" i="5"/>
  <c r="A2279" i="5"/>
  <c r="A2278" i="5"/>
  <c r="A2277" i="5"/>
  <c r="A2276" i="5"/>
  <c r="A2275" i="5"/>
  <c r="A2274" i="5"/>
  <c r="A2273" i="5"/>
  <c r="A2272" i="5"/>
  <c r="A2271" i="5"/>
  <c r="A2270" i="5"/>
  <c r="A2269" i="5"/>
  <c r="A2268" i="5"/>
  <c r="A2267" i="5"/>
  <c r="A2266" i="5"/>
  <c r="A2265" i="5"/>
  <c r="A2264" i="5"/>
  <c r="A2263" i="5"/>
  <c r="A2262" i="5"/>
  <c r="A2261" i="5"/>
  <c r="A2260" i="5"/>
  <c r="A2259" i="5"/>
  <c r="A2258" i="5"/>
  <c r="A2257" i="5"/>
  <c r="A2256" i="5"/>
  <c r="A2255" i="5"/>
  <c r="A2254" i="5"/>
  <c r="A2253" i="5"/>
  <c r="A2252" i="5"/>
  <c r="A2251" i="5"/>
  <c r="A2250" i="5"/>
  <c r="A2249" i="5"/>
  <c r="A2248" i="5"/>
  <c r="A2247" i="5"/>
  <c r="A2246" i="5"/>
  <c r="A2245" i="5"/>
  <c r="A2244" i="5"/>
  <c r="A2243" i="5"/>
  <c r="A2242" i="5"/>
  <c r="A2241" i="5"/>
  <c r="A2240" i="5"/>
  <c r="A2239" i="5"/>
  <c r="A2238" i="5"/>
  <c r="A2237" i="5"/>
  <c r="A2236" i="5"/>
  <c r="A2235" i="5"/>
  <c r="A2234" i="5"/>
  <c r="A2233" i="5"/>
  <c r="A2232" i="5"/>
  <c r="A2231" i="5"/>
  <c r="A2230" i="5"/>
  <c r="A2229" i="5"/>
  <c r="A2228" i="5"/>
  <c r="A2227" i="5"/>
  <c r="A2226" i="5"/>
  <c r="A2225" i="5"/>
  <c r="A2224" i="5"/>
  <c r="A2223" i="5"/>
  <c r="A2222" i="5"/>
  <c r="A2221" i="5"/>
  <c r="A2220" i="5"/>
  <c r="A2219" i="5"/>
  <c r="A2218" i="5"/>
  <c r="A2217" i="5"/>
  <c r="A2216" i="5"/>
  <c r="A2215" i="5"/>
  <c r="A2214" i="5"/>
  <c r="A2213" i="5"/>
  <c r="A2212" i="5"/>
  <c r="A2211" i="5"/>
  <c r="A2210" i="5"/>
  <c r="A2209" i="5"/>
  <c r="A2208" i="5"/>
  <c r="A2207" i="5"/>
  <c r="A2206" i="5"/>
  <c r="A2205" i="5"/>
  <c r="A2204" i="5"/>
  <c r="A2203" i="5"/>
  <c r="A2202" i="5"/>
  <c r="A2201" i="5"/>
  <c r="A2200" i="5"/>
  <c r="A2199" i="5"/>
  <c r="A2198" i="5"/>
  <c r="A2197" i="5"/>
  <c r="A2196" i="5"/>
  <c r="A2195" i="5"/>
  <c r="A2194" i="5"/>
  <c r="A2193" i="5"/>
  <c r="A2192" i="5"/>
  <c r="A2191" i="5"/>
  <c r="A2190" i="5"/>
  <c r="A2189" i="5"/>
  <c r="A2188" i="5"/>
  <c r="A2187" i="5"/>
  <c r="A2186" i="5"/>
  <c r="A2185" i="5"/>
  <c r="A2184" i="5"/>
  <c r="A2183" i="5"/>
  <c r="A2182" i="5"/>
  <c r="A2181" i="5"/>
  <c r="A2180" i="5"/>
  <c r="A2179" i="5"/>
  <c r="A2178" i="5"/>
  <c r="A2177" i="5"/>
  <c r="A2176" i="5"/>
  <c r="A2175" i="5"/>
  <c r="A2174" i="5"/>
  <c r="A2173" i="5"/>
  <c r="A2172" i="5"/>
  <c r="A2171" i="5"/>
  <c r="A2170" i="5"/>
  <c r="A2169" i="5"/>
  <c r="A2168" i="5"/>
  <c r="A2167" i="5"/>
  <c r="A2166" i="5"/>
  <c r="A2165" i="5"/>
  <c r="A2164" i="5"/>
  <c r="A2163" i="5"/>
  <c r="A2162" i="5"/>
  <c r="A2161" i="5"/>
  <c r="A2160" i="5"/>
  <c r="A2159" i="5"/>
  <c r="A2158" i="5"/>
  <c r="A2157" i="5"/>
  <c r="A2156" i="5"/>
  <c r="A2155" i="5"/>
  <c r="A2154" i="5"/>
  <c r="A2153" i="5"/>
  <c r="A2152" i="5"/>
  <c r="A2151" i="5"/>
  <c r="A2150" i="5"/>
  <c r="A2149" i="5"/>
  <c r="A2148" i="5"/>
  <c r="A2147" i="5"/>
  <c r="A2146" i="5"/>
  <c r="A2145" i="5"/>
  <c r="A2144" i="5"/>
  <c r="A2143" i="5"/>
  <c r="A2142" i="5"/>
  <c r="A2141" i="5"/>
  <c r="A2140" i="5"/>
  <c r="A2139" i="5"/>
  <c r="A2138" i="5"/>
  <c r="A2137" i="5"/>
  <c r="A2136" i="5"/>
  <c r="A2135" i="5"/>
  <c r="A2134" i="5"/>
  <c r="A2133" i="5"/>
  <c r="A2132" i="5"/>
  <c r="A2131" i="5"/>
  <c r="A2130" i="5"/>
  <c r="A2129" i="5"/>
  <c r="A2128" i="5"/>
  <c r="A2127" i="5"/>
  <c r="A2126" i="5"/>
  <c r="A2125" i="5"/>
  <c r="A2124" i="5"/>
  <c r="A2123" i="5"/>
  <c r="A2122" i="5"/>
  <c r="A2121" i="5"/>
  <c r="A2120" i="5"/>
  <c r="A2119" i="5"/>
  <c r="A2118" i="5"/>
  <c r="A2117" i="5"/>
  <c r="A2116" i="5"/>
  <c r="A2115" i="5"/>
  <c r="A2114" i="5"/>
  <c r="A2113" i="5"/>
  <c r="A2112" i="5"/>
  <c r="A2111" i="5"/>
  <c r="A2110" i="5"/>
  <c r="A2109" i="5"/>
  <c r="A2108" i="5"/>
  <c r="A2107" i="5"/>
  <c r="A2106" i="5"/>
  <c r="A2105" i="5"/>
  <c r="A2104" i="5"/>
  <c r="A2103" i="5"/>
  <c r="A2102" i="5"/>
  <c r="A2101" i="5"/>
  <c r="A2100" i="5"/>
  <c r="A2099" i="5"/>
  <c r="A2098" i="5"/>
  <c r="A2097" i="5"/>
  <c r="A2096" i="5"/>
  <c r="A2095" i="5"/>
  <c r="A2094" i="5"/>
  <c r="A2093" i="5"/>
  <c r="A2092" i="5"/>
  <c r="A2091" i="5"/>
  <c r="A2090" i="5"/>
  <c r="A2089" i="5"/>
  <c r="A2088" i="5"/>
  <c r="A2087" i="5"/>
  <c r="A2086" i="5"/>
  <c r="A2085" i="5"/>
  <c r="A2084" i="5"/>
  <c r="A2083" i="5"/>
  <c r="A2082" i="5"/>
  <c r="A2081" i="5"/>
  <c r="A2080" i="5"/>
  <c r="A2079" i="5"/>
  <c r="A2078" i="5"/>
  <c r="A2077" i="5"/>
  <c r="A2076" i="5"/>
  <c r="A2075" i="5"/>
  <c r="A2074" i="5"/>
  <c r="A2073" i="5"/>
  <c r="A2072" i="5"/>
  <c r="A2071" i="5"/>
  <c r="A2070" i="5"/>
  <c r="A2069" i="5"/>
  <c r="A2068" i="5"/>
  <c r="A2067" i="5"/>
  <c r="A2066" i="5"/>
  <c r="A2065" i="5"/>
  <c r="A2064" i="5"/>
  <c r="A2063" i="5"/>
  <c r="A2062" i="5"/>
  <c r="A2061" i="5"/>
  <c r="A2060" i="5"/>
  <c r="A2059" i="5"/>
  <c r="A2058" i="5"/>
  <c r="A2057" i="5"/>
  <c r="A2056" i="5"/>
  <c r="A2055" i="5"/>
  <c r="A2054" i="5"/>
  <c r="A2053" i="5"/>
  <c r="A2052" i="5"/>
  <c r="A2051" i="5"/>
  <c r="A2050" i="5"/>
  <c r="A2049" i="5"/>
  <c r="A2048" i="5"/>
  <c r="A2047" i="5"/>
  <c r="A2046" i="5"/>
  <c r="A2045" i="5"/>
  <c r="A2044" i="5"/>
  <c r="A2043" i="5"/>
  <c r="A2042" i="5"/>
  <c r="A2041" i="5"/>
  <c r="A2040" i="5"/>
  <c r="A2039" i="5"/>
  <c r="A2038" i="5"/>
  <c r="A2037" i="5"/>
  <c r="A2036" i="5"/>
  <c r="A2035" i="5"/>
  <c r="A2034" i="5"/>
  <c r="A2033" i="5"/>
  <c r="A2032" i="5"/>
  <c r="A2031" i="5"/>
  <c r="A2030" i="5"/>
  <c r="A2029" i="5"/>
  <c r="A2028" i="5"/>
  <c r="A2027" i="5"/>
  <c r="A2026" i="5"/>
  <c r="A2025" i="5"/>
  <c r="A2024" i="5"/>
  <c r="A2023" i="5"/>
  <c r="A2022" i="5"/>
  <c r="A2021" i="5"/>
  <c r="A2020" i="5"/>
  <c r="A2019" i="5"/>
  <c r="A2018" i="5"/>
  <c r="A2017" i="5"/>
  <c r="A2016" i="5"/>
  <c r="A2015" i="5"/>
  <c r="A2014" i="5"/>
  <c r="A2013" i="5"/>
  <c r="A2012" i="5"/>
  <c r="A2011" i="5"/>
  <c r="A2010" i="5"/>
  <c r="A2009" i="5"/>
  <c r="A2008" i="5"/>
  <c r="A2007" i="5"/>
  <c r="A2006" i="5"/>
  <c r="A2005" i="5"/>
  <c r="A2004" i="5"/>
  <c r="A2003" i="5"/>
  <c r="A2002" i="5"/>
  <c r="A2001" i="5"/>
  <c r="A2000" i="5"/>
  <c r="A1999" i="5"/>
  <c r="A1998" i="5"/>
  <c r="A1997" i="5"/>
  <c r="A1996" i="5"/>
  <c r="A1995" i="5"/>
  <c r="A1994" i="5"/>
  <c r="A1993" i="5"/>
  <c r="A1992" i="5"/>
  <c r="A1991" i="5"/>
  <c r="A1990" i="5"/>
  <c r="A1989" i="5"/>
  <c r="A1988" i="5"/>
  <c r="A1987" i="5"/>
  <c r="A1986" i="5"/>
  <c r="A1985" i="5"/>
  <c r="A1984" i="5"/>
  <c r="A1983" i="5"/>
  <c r="A1982" i="5"/>
  <c r="A1981" i="5"/>
  <c r="A1980" i="5"/>
  <c r="A1979" i="5"/>
  <c r="A1978" i="5"/>
  <c r="A1977" i="5"/>
  <c r="A1976" i="5"/>
  <c r="A1975" i="5"/>
  <c r="A1974" i="5"/>
  <c r="A1973" i="5"/>
  <c r="A1972" i="5"/>
  <c r="A1971" i="5"/>
  <c r="A1970" i="5"/>
  <c r="A1969" i="5"/>
  <c r="A1968" i="5"/>
  <c r="A1967" i="5"/>
  <c r="A1966" i="5"/>
  <c r="A1965" i="5"/>
  <c r="A1964" i="5"/>
  <c r="A1963" i="5"/>
  <c r="A1962" i="5"/>
  <c r="A1961" i="5"/>
  <c r="A1960" i="5"/>
  <c r="A1959" i="5"/>
  <c r="A1958" i="5"/>
  <c r="A1957" i="5"/>
  <c r="A1956" i="5"/>
  <c r="A1955" i="5"/>
  <c r="A1954" i="5"/>
  <c r="A1953" i="5"/>
  <c r="A1952" i="5"/>
  <c r="A1951" i="5"/>
  <c r="A1950" i="5"/>
  <c r="A1949" i="5"/>
  <c r="A1948" i="5"/>
  <c r="A1947" i="5"/>
  <c r="A1946" i="5"/>
  <c r="A1945" i="5"/>
  <c r="A1944" i="5"/>
  <c r="A1943" i="5"/>
  <c r="A1942" i="5"/>
  <c r="A1941" i="5"/>
  <c r="A1940" i="5"/>
  <c r="A1939" i="5"/>
  <c r="A1938" i="5"/>
  <c r="A1937" i="5"/>
  <c r="A1936" i="5"/>
  <c r="A1935" i="5"/>
  <c r="A1934" i="5"/>
  <c r="A1933" i="5"/>
  <c r="A1932" i="5"/>
  <c r="A1931" i="5"/>
  <c r="A1930" i="5"/>
  <c r="A1929" i="5"/>
  <c r="A1928" i="5"/>
  <c r="A1927" i="5"/>
  <c r="A1926" i="5"/>
  <c r="A1925" i="5"/>
  <c r="A1924" i="5"/>
  <c r="A1923" i="5"/>
  <c r="A1922" i="5"/>
  <c r="A1921" i="5"/>
  <c r="A1920" i="5"/>
  <c r="A1919" i="5"/>
  <c r="A1918" i="5"/>
  <c r="A1917" i="5"/>
  <c r="A1916" i="5"/>
  <c r="A1915" i="5"/>
  <c r="A1914" i="5"/>
  <c r="A1913" i="5"/>
  <c r="A1912" i="5"/>
  <c r="A1911" i="5"/>
  <c r="A1910" i="5"/>
  <c r="A1909" i="5"/>
  <c r="A1908" i="5"/>
  <c r="A1907" i="5"/>
  <c r="A1906" i="5"/>
  <c r="A1905" i="5"/>
  <c r="A1904" i="5"/>
  <c r="A1903" i="5"/>
  <c r="A1902" i="5"/>
  <c r="A1901" i="5"/>
  <c r="A1900" i="5"/>
  <c r="A1899" i="5"/>
  <c r="A1898" i="5"/>
  <c r="A1897" i="5"/>
  <c r="A1896" i="5"/>
  <c r="A1895" i="5"/>
  <c r="A1894" i="5"/>
  <c r="A1893" i="5"/>
  <c r="A1892" i="5"/>
  <c r="A1891" i="5"/>
  <c r="A1890" i="5"/>
  <c r="A1889" i="5"/>
  <c r="A1888" i="5"/>
  <c r="A1887" i="5"/>
  <c r="A1886" i="5"/>
  <c r="A1885" i="5"/>
  <c r="A1884" i="5"/>
  <c r="A1883" i="5"/>
  <c r="A1882" i="5"/>
  <c r="A1881" i="5"/>
  <c r="A1880" i="5"/>
  <c r="A1879" i="5"/>
  <c r="A1878" i="5"/>
  <c r="A1877" i="5"/>
  <c r="A1876" i="5"/>
  <c r="A1875" i="5"/>
  <c r="A1874" i="5"/>
  <c r="A1873" i="5"/>
  <c r="A1872" i="5"/>
  <c r="A1871" i="5"/>
  <c r="A1870" i="5"/>
  <c r="A1869" i="5"/>
  <c r="A1868" i="5"/>
  <c r="A1867" i="5"/>
  <c r="A1866" i="5"/>
  <c r="A1865" i="5"/>
  <c r="A1864" i="5"/>
  <c r="A1863" i="5"/>
  <c r="A1862" i="5"/>
  <c r="A1861" i="5"/>
  <c r="A1860" i="5"/>
  <c r="A1859" i="5"/>
  <c r="A1858" i="5"/>
  <c r="A1857" i="5"/>
  <c r="A1856" i="5"/>
  <c r="A1855" i="5"/>
  <c r="A1854" i="5"/>
  <c r="A1853" i="5"/>
  <c r="A1852" i="5"/>
  <c r="A1851" i="5"/>
  <c r="A1850" i="5"/>
  <c r="A1849" i="5"/>
  <c r="A1848" i="5"/>
  <c r="A1847" i="5"/>
  <c r="A1846" i="5"/>
  <c r="A1845" i="5"/>
  <c r="A1844" i="5"/>
  <c r="A1843" i="5"/>
  <c r="A1842" i="5"/>
  <c r="A1841" i="5"/>
  <c r="A1840" i="5"/>
  <c r="A1839" i="5"/>
  <c r="A1838" i="5"/>
  <c r="A1837" i="5"/>
  <c r="A1836" i="5"/>
  <c r="A1835" i="5"/>
  <c r="A1834" i="5"/>
  <c r="A1833" i="5"/>
  <c r="A1832" i="5"/>
  <c r="A1831" i="5"/>
  <c r="A1830" i="5"/>
  <c r="A1829" i="5"/>
  <c r="A1828" i="5"/>
  <c r="A1827" i="5"/>
  <c r="A1826" i="5"/>
  <c r="A1825" i="5"/>
  <c r="A1824" i="5"/>
  <c r="A1823" i="5"/>
  <c r="A1822" i="5"/>
  <c r="A1821" i="5"/>
  <c r="A1820" i="5"/>
  <c r="A1819" i="5"/>
  <c r="A1818" i="5"/>
  <c r="A1817" i="5"/>
  <c r="A1816" i="5"/>
  <c r="A1815" i="5"/>
  <c r="A1814" i="5"/>
  <c r="A1813" i="5"/>
  <c r="A1812" i="5"/>
  <c r="A1811" i="5"/>
  <c r="A1810" i="5"/>
  <c r="A1809" i="5"/>
  <c r="A1808" i="5"/>
  <c r="A1807" i="5"/>
  <c r="A1806" i="5"/>
  <c r="A1805" i="5"/>
  <c r="A1804" i="5"/>
  <c r="A1803" i="5"/>
  <c r="A1802" i="5"/>
  <c r="A1801" i="5"/>
  <c r="A1800" i="5"/>
  <c r="A1799" i="5"/>
  <c r="A1798" i="5"/>
  <c r="A1797" i="5"/>
  <c r="A1796" i="5"/>
  <c r="A1795" i="5"/>
  <c r="A1794" i="5"/>
  <c r="A1793" i="5"/>
  <c r="A1792" i="5"/>
  <c r="A1791" i="5"/>
  <c r="A1790" i="5"/>
  <c r="A1789" i="5"/>
  <c r="A1788" i="5"/>
  <c r="A1787" i="5"/>
  <c r="A1786" i="5"/>
  <c r="A1785" i="5"/>
  <c r="A1784" i="5"/>
  <c r="A1783" i="5"/>
  <c r="A1782" i="5"/>
  <c r="A1781" i="5"/>
  <c r="A1780" i="5"/>
  <c r="A1779" i="5"/>
  <c r="A1778" i="5"/>
  <c r="A1777" i="5"/>
  <c r="A1776" i="5"/>
  <c r="A1775" i="5"/>
  <c r="A1774" i="5"/>
  <c r="A1773" i="5"/>
  <c r="A1772" i="5"/>
  <c r="A1771" i="5"/>
  <c r="A1770" i="5"/>
  <c r="A1769" i="5"/>
  <c r="A1768" i="5"/>
  <c r="A1767" i="5"/>
  <c r="A1766" i="5"/>
  <c r="A1765" i="5"/>
  <c r="A1764" i="5"/>
  <c r="A1763" i="5"/>
  <c r="A1762" i="5"/>
  <c r="A1761" i="5"/>
  <c r="A1760" i="5"/>
  <c r="A1759" i="5"/>
  <c r="A1758" i="5"/>
  <c r="A1757" i="5"/>
  <c r="A1756" i="5"/>
  <c r="A1755" i="5"/>
  <c r="A1754" i="5"/>
  <c r="A1753" i="5"/>
  <c r="A1752" i="5"/>
  <c r="A1751" i="5"/>
  <c r="A1750" i="5"/>
  <c r="A1749" i="5"/>
  <c r="A1748" i="5"/>
  <c r="A1747" i="5"/>
  <c r="A1746" i="5"/>
  <c r="A1745" i="5"/>
  <c r="A1744" i="5"/>
  <c r="A1743" i="5"/>
  <c r="A1742" i="5"/>
  <c r="A1741" i="5"/>
  <c r="A1740" i="5"/>
  <c r="A1739" i="5"/>
  <c r="A1738" i="5"/>
  <c r="A1737" i="5"/>
  <c r="A1736" i="5"/>
  <c r="A1735" i="5"/>
  <c r="A1734" i="5"/>
  <c r="A1733" i="5"/>
  <c r="A1732" i="5"/>
  <c r="A1731" i="5"/>
  <c r="A1730" i="5"/>
  <c r="A1729" i="5"/>
  <c r="A1728" i="5"/>
  <c r="A1727" i="5"/>
  <c r="A1726" i="5"/>
  <c r="A1725" i="5"/>
  <c r="A1724" i="5"/>
  <c r="A1723" i="5"/>
  <c r="A1722" i="5"/>
  <c r="A1721" i="5"/>
  <c r="A1720" i="5"/>
  <c r="A1719" i="5"/>
  <c r="A1718" i="5"/>
  <c r="A1717" i="5"/>
  <c r="A1716" i="5"/>
  <c r="A1715" i="5"/>
  <c r="A1714" i="5"/>
  <c r="A1713" i="5"/>
  <c r="A1712" i="5"/>
  <c r="A1711" i="5"/>
  <c r="A1710" i="5"/>
  <c r="A1709" i="5"/>
  <c r="A1708" i="5"/>
  <c r="A1707" i="5"/>
  <c r="A1706" i="5"/>
  <c r="A1705" i="5"/>
  <c r="A1704" i="5"/>
  <c r="A1703" i="5"/>
  <c r="A1702" i="5"/>
  <c r="A1701" i="5"/>
  <c r="A1700" i="5"/>
  <c r="A1699" i="5"/>
  <c r="A1698" i="5"/>
  <c r="A1697" i="5"/>
  <c r="A1696" i="5"/>
  <c r="A1695" i="5"/>
  <c r="A1694" i="5"/>
  <c r="A1693" i="5"/>
  <c r="A1692" i="5"/>
  <c r="A1691" i="5"/>
  <c r="A1690" i="5"/>
  <c r="A1689" i="5"/>
  <c r="A1688" i="5"/>
  <c r="A1687" i="5"/>
  <c r="A1686" i="5"/>
  <c r="A1685" i="5"/>
  <c r="A1684" i="5"/>
  <c r="A1683" i="5"/>
  <c r="A1682" i="5"/>
  <c r="A1681" i="5"/>
  <c r="A1680" i="5"/>
  <c r="A1679" i="5"/>
  <c r="A1678" i="5"/>
  <c r="A1677" i="5"/>
  <c r="A1676" i="5"/>
  <c r="A1675" i="5"/>
  <c r="A1674" i="5"/>
  <c r="A1673" i="5"/>
  <c r="A1672" i="5"/>
  <c r="A1671" i="5"/>
  <c r="A1670" i="5"/>
  <c r="A1669" i="5"/>
  <c r="A1668" i="5"/>
  <c r="A1667" i="5"/>
  <c r="A1666" i="5"/>
  <c r="A1665" i="5"/>
  <c r="A1664" i="5"/>
  <c r="A1663" i="5"/>
  <c r="A1662" i="5"/>
  <c r="A1661" i="5"/>
  <c r="A1660" i="5"/>
  <c r="A1659" i="5"/>
  <c r="A1658" i="5"/>
  <c r="A1657" i="5"/>
  <c r="A1656" i="5"/>
  <c r="A1655" i="5"/>
  <c r="A1654" i="5"/>
  <c r="A1653" i="5"/>
  <c r="A1652" i="5"/>
  <c r="A1651" i="5"/>
  <c r="A1650" i="5"/>
  <c r="A1649" i="5"/>
  <c r="A1648" i="5"/>
  <c r="A1647" i="5"/>
  <c r="A1646" i="5"/>
  <c r="A1645" i="5"/>
  <c r="A1644" i="5"/>
  <c r="A1643" i="5"/>
  <c r="A1642" i="5"/>
  <c r="A1641" i="5"/>
  <c r="A1640" i="5"/>
  <c r="A1639" i="5"/>
  <c r="A1638" i="5"/>
  <c r="A1637" i="5"/>
  <c r="A1636" i="5"/>
  <c r="A1635" i="5"/>
  <c r="A1634" i="5"/>
  <c r="A1633" i="5"/>
  <c r="A1632" i="5"/>
  <c r="A1631" i="5"/>
  <c r="A1630" i="5"/>
  <c r="A1629" i="5"/>
  <c r="A1628" i="5"/>
  <c r="A1627" i="5"/>
  <c r="A1626" i="5"/>
  <c r="A1625" i="5"/>
  <c r="A1624" i="5"/>
  <c r="A1623" i="5"/>
  <c r="A1622" i="5"/>
  <c r="A1621" i="5"/>
  <c r="A1620" i="5"/>
  <c r="A1619" i="5"/>
  <c r="A1618" i="5"/>
  <c r="A1617" i="5"/>
  <c r="A1616" i="5"/>
  <c r="A1615" i="5"/>
  <c r="A1614" i="5"/>
  <c r="A1613" i="5"/>
  <c r="A1612" i="5"/>
  <c r="A1611" i="5"/>
  <c r="A1610" i="5"/>
  <c r="A1609" i="5"/>
  <c r="A1608" i="5"/>
  <c r="A1607" i="5"/>
  <c r="A1606" i="5"/>
  <c r="A1605" i="5"/>
  <c r="A1604" i="5"/>
  <c r="A1603" i="5"/>
  <c r="A1602" i="5"/>
  <c r="A1601" i="5"/>
  <c r="A1600" i="5"/>
  <c r="A1599" i="5"/>
  <c r="A1598" i="5"/>
  <c r="A1597" i="5"/>
  <c r="A1596" i="5"/>
  <c r="A1595" i="5"/>
  <c r="A1594" i="5"/>
  <c r="A1593" i="5"/>
  <c r="A1592" i="5"/>
  <c r="A1591" i="5"/>
  <c r="A1590" i="5"/>
  <c r="A1589" i="5"/>
  <c r="A1588" i="5"/>
  <c r="A1587" i="5"/>
  <c r="A1586" i="5"/>
  <c r="A1585" i="5"/>
  <c r="A1584" i="5"/>
  <c r="A1583" i="5"/>
  <c r="A1582" i="5"/>
  <c r="A1581" i="5"/>
  <c r="A1580" i="5"/>
  <c r="A1579" i="5"/>
  <c r="A1578" i="5"/>
  <c r="A1577" i="5"/>
  <c r="A1576" i="5"/>
  <c r="A1575" i="5"/>
  <c r="A1574" i="5"/>
  <c r="A1573" i="5"/>
  <c r="A1572" i="5"/>
  <c r="A1571" i="5"/>
  <c r="A1570" i="5"/>
  <c r="A1569" i="5"/>
  <c r="A1568" i="5"/>
  <c r="A1567" i="5"/>
  <c r="A1566" i="5"/>
  <c r="A1565" i="5"/>
  <c r="A1564" i="5"/>
  <c r="A1563" i="5"/>
  <c r="A1562" i="5"/>
  <c r="A1561" i="5"/>
  <c r="A1560" i="5"/>
  <c r="A1559" i="5"/>
  <c r="A1558" i="5"/>
  <c r="A1557" i="5"/>
  <c r="A1556" i="5"/>
  <c r="A1555" i="5"/>
  <c r="A1554" i="5"/>
  <c r="A1553" i="5"/>
  <c r="A1552" i="5"/>
  <c r="A1551" i="5"/>
  <c r="A1550" i="5"/>
  <c r="A1549" i="5"/>
  <c r="A1548" i="5"/>
  <c r="A1547" i="5"/>
  <c r="A1546" i="5"/>
  <c r="A1545" i="5"/>
  <c r="A1544" i="5"/>
  <c r="A1543" i="5"/>
  <c r="A1542" i="5"/>
  <c r="A1541" i="5"/>
  <c r="A1540" i="5"/>
  <c r="A1539" i="5"/>
  <c r="A1538" i="5"/>
  <c r="A1537" i="5"/>
  <c r="A1536" i="5"/>
  <c r="A1535" i="5"/>
  <c r="A1534" i="5"/>
  <c r="A1533" i="5"/>
  <c r="A1532" i="5"/>
  <c r="A1531" i="5"/>
  <c r="A1530" i="5"/>
  <c r="A1529" i="5"/>
  <c r="A1528" i="5"/>
  <c r="A1527" i="5"/>
  <c r="A1526" i="5"/>
  <c r="A1525" i="5"/>
  <c r="A1524" i="5"/>
  <c r="A1523" i="5"/>
  <c r="A1522" i="5"/>
  <c r="A1521" i="5"/>
  <c r="A1520" i="5"/>
  <c r="A1519" i="5"/>
  <c r="A1518" i="5"/>
  <c r="A1517" i="5"/>
  <c r="A1516" i="5"/>
  <c r="A1515" i="5"/>
  <c r="A1514" i="5"/>
  <c r="A1513" i="5"/>
  <c r="A1512" i="5"/>
  <c r="A1511" i="5"/>
  <c r="A1510" i="5"/>
  <c r="A1509" i="5"/>
  <c r="A1508" i="5"/>
  <c r="A1507" i="5"/>
  <c r="A1506" i="5"/>
  <c r="A1505" i="5"/>
  <c r="A1504" i="5"/>
  <c r="A1503" i="5"/>
  <c r="A1502" i="5"/>
  <c r="A1501" i="5"/>
  <c r="A1500" i="5"/>
  <c r="A1499" i="5"/>
  <c r="A1498" i="5"/>
  <c r="A1497" i="5"/>
  <c r="A1496" i="5"/>
  <c r="A1495" i="5"/>
  <c r="A1494" i="5"/>
  <c r="A1493" i="5"/>
  <c r="A1492" i="5"/>
  <c r="A1491" i="5"/>
  <c r="A1490" i="5"/>
  <c r="A1489" i="5"/>
  <c r="A1488" i="5"/>
  <c r="A1487" i="5"/>
  <c r="A1486" i="5"/>
  <c r="A1485" i="5"/>
  <c r="A1484" i="5"/>
  <c r="A1483" i="5"/>
  <c r="A1482" i="5"/>
  <c r="A1481" i="5"/>
  <c r="A1480" i="5"/>
  <c r="A1479" i="5"/>
  <c r="A1478" i="5"/>
  <c r="A1477" i="5"/>
  <c r="A1476" i="5"/>
  <c r="A1475" i="5"/>
  <c r="A1474" i="5"/>
  <c r="A1473" i="5"/>
  <c r="A1472" i="5"/>
  <c r="A1471" i="5"/>
  <c r="A1470" i="5"/>
  <c r="A1469" i="5"/>
  <c r="A1468" i="5"/>
  <c r="A1467" i="5"/>
  <c r="A1466" i="5"/>
  <c r="A1465" i="5"/>
  <c r="A1464" i="5"/>
  <c r="A1463" i="5"/>
  <c r="A1462" i="5"/>
  <c r="A1461" i="5"/>
  <c r="A1460" i="5"/>
  <c r="A1459" i="5"/>
  <c r="A1458" i="5"/>
  <c r="A1457" i="5"/>
  <c r="A1456" i="5"/>
  <c r="A1455" i="5"/>
  <c r="A1454" i="5"/>
  <c r="A1453" i="5"/>
  <c r="A1452" i="5"/>
  <c r="A1451" i="5"/>
  <c r="A1450" i="5"/>
  <c r="A1449" i="5"/>
  <c r="A1448" i="5"/>
  <c r="A1447" i="5"/>
  <c r="A1446" i="5"/>
  <c r="A1445" i="5"/>
  <c r="A1444" i="5"/>
  <c r="A1443" i="5"/>
  <c r="A1442" i="5"/>
  <c r="A1441" i="5"/>
  <c r="A1440" i="5"/>
  <c r="A1439" i="5"/>
  <c r="A1438" i="5"/>
  <c r="A1437" i="5"/>
  <c r="A1436" i="5"/>
  <c r="A1435" i="5"/>
  <c r="A1434" i="5"/>
  <c r="A1433" i="5"/>
  <c r="A1432" i="5"/>
  <c r="A1431" i="5"/>
  <c r="A1430" i="5"/>
  <c r="A1429" i="5"/>
  <c r="A1428" i="5"/>
  <c r="A1427" i="5"/>
  <c r="A1426" i="5"/>
  <c r="A1425" i="5"/>
  <c r="A1424" i="5"/>
  <c r="A1423" i="5"/>
  <c r="A1422" i="5"/>
  <c r="A1421" i="5"/>
  <c r="A1420" i="5"/>
  <c r="A1419" i="5"/>
  <c r="A1418" i="5"/>
  <c r="A1417" i="5"/>
  <c r="A1416" i="5"/>
  <c r="A1415" i="5"/>
  <c r="A1414" i="5"/>
  <c r="A1413" i="5"/>
  <c r="A1412" i="5"/>
  <c r="A1411" i="5"/>
  <c r="A1410" i="5"/>
  <c r="A1409" i="5"/>
  <c r="A1408" i="5"/>
  <c r="A1407" i="5"/>
  <c r="A1406" i="5"/>
  <c r="A1405" i="5"/>
  <c r="A1404" i="5"/>
  <c r="A1403" i="5"/>
  <c r="A1402" i="5"/>
  <c r="A1401" i="5"/>
  <c r="A1400" i="5"/>
  <c r="A1399" i="5"/>
  <c r="A1398" i="5"/>
  <c r="A1397" i="5"/>
  <c r="A1396" i="5"/>
  <c r="A1395" i="5"/>
  <c r="A1394" i="5"/>
  <c r="A1393" i="5"/>
  <c r="A1392" i="5"/>
  <c r="A1391" i="5"/>
  <c r="A1390" i="5"/>
  <c r="A1389" i="5"/>
  <c r="A1388" i="5"/>
  <c r="A1387" i="5"/>
  <c r="A1386" i="5"/>
  <c r="A1385" i="5"/>
  <c r="A1384" i="5"/>
  <c r="A1383" i="5"/>
  <c r="A1382" i="5"/>
  <c r="A1381" i="5"/>
  <c r="A1380" i="5"/>
  <c r="A1379" i="5"/>
  <c r="A1378" i="5"/>
  <c r="A1377" i="5"/>
  <c r="A1376" i="5"/>
  <c r="A1375" i="5"/>
  <c r="A1374" i="5"/>
  <c r="A1373" i="5"/>
  <c r="A1372" i="5"/>
  <c r="A1371" i="5"/>
  <c r="A1370" i="5"/>
  <c r="A1369" i="5"/>
  <c r="A1368" i="5"/>
  <c r="A1367" i="5"/>
  <c r="A1366" i="5"/>
  <c r="A1365" i="5"/>
  <c r="A1364" i="5"/>
  <c r="A1363" i="5"/>
  <c r="A1362" i="5"/>
  <c r="A1361" i="5"/>
  <c r="A1360" i="5"/>
  <c r="A1359" i="5"/>
  <c r="A1358" i="5"/>
  <c r="A1357" i="5"/>
  <c r="A1356" i="5"/>
  <c r="A1355" i="5"/>
  <c r="A1354" i="5"/>
  <c r="A1353" i="5"/>
  <c r="A1352" i="5"/>
  <c r="A1351" i="5"/>
  <c r="A1350" i="5"/>
  <c r="A1349" i="5"/>
  <c r="A1348" i="5"/>
  <c r="A1347" i="5"/>
  <c r="A1346" i="5"/>
  <c r="A1345" i="5"/>
  <c r="A1344" i="5"/>
  <c r="A1343" i="5"/>
  <c r="A1342" i="5"/>
  <c r="A1341" i="5"/>
  <c r="A1340" i="5"/>
  <c r="A1339" i="5"/>
  <c r="A1338" i="5"/>
  <c r="A1337" i="5"/>
  <c r="A1336" i="5"/>
  <c r="A1335" i="5"/>
  <c r="A1334" i="5"/>
  <c r="A1333" i="5"/>
  <c r="A1332" i="5"/>
  <c r="A1331" i="5"/>
  <c r="A1330" i="5"/>
  <c r="A1329" i="5"/>
  <c r="A1328" i="5"/>
  <c r="A1327" i="5"/>
  <c r="A1326" i="5"/>
  <c r="A1325" i="5"/>
  <c r="A1324" i="5"/>
  <c r="A1323" i="5"/>
  <c r="A1322" i="5"/>
  <c r="A1321" i="5"/>
  <c r="A1320" i="5"/>
  <c r="A1319" i="5"/>
  <c r="A1318" i="5"/>
  <c r="A1317" i="5"/>
  <c r="A1316" i="5"/>
  <c r="A1315" i="5"/>
  <c r="A1314" i="5"/>
  <c r="A1313" i="5"/>
  <c r="A1312" i="5"/>
  <c r="A1311" i="5"/>
  <c r="A1310" i="5"/>
  <c r="A1309" i="5"/>
  <c r="A1308" i="5"/>
  <c r="A1307" i="5"/>
  <c r="A1306" i="5"/>
  <c r="A1305" i="5"/>
  <c r="A1304" i="5"/>
  <c r="A1303" i="5"/>
  <c r="A1302" i="5"/>
  <c r="A1301" i="5"/>
  <c r="A1300" i="5"/>
  <c r="A1299" i="5"/>
  <c r="A1298" i="5"/>
  <c r="A1297" i="5"/>
  <c r="A1296" i="5"/>
  <c r="A1295" i="5"/>
  <c r="A1294" i="5"/>
  <c r="A1293" i="5"/>
  <c r="A1292" i="5"/>
  <c r="A1291" i="5"/>
  <c r="A1290" i="5"/>
  <c r="A1289" i="5"/>
  <c r="A1288" i="5"/>
  <c r="A1287" i="5"/>
  <c r="A1286" i="5"/>
  <c r="A1285" i="5"/>
  <c r="A1284" i="5"/>
  <c r="A1283" i="5"/>
  <c r="A1282" i="5"/>
  <c r="A1281" i="5"/>
  <c r="A1280" i="5"/>
  <c r="A1279" i="5"/>
  <c r="A1278" i="5"/>
  <c r="A1277" i="5"/>
  <c r="A1276" i="5"/>
  <c r="A1275" i="5"/>
  <c r="A1274" i="5"/>
  <c r="A1273" i="5"/>
  <c r="A1272" i="5"/>
  <c r="A1271" i="5"/>
  <c r="A1270" i="5"/>
  <c r="A1269" i="5"/>
  <c r="A1268" i="5"/>
  <c r="A1267" i="5"/>
  <c r="A1266" i="5"/>
  <c r="A1265" i="5"/>
  <c r="A1264" i="5"/>
  <c r="A1263" i="5"/>
  <c r="A1262" i="5"/>
  <c r="A1261" i="5"/>
  <c r="A1260" i="5"/>
  <c r="A1259" i="5"/>
  <c r="A1258" i="5"/>
  <c r="A1257" i="5"/>
  <c r="A1256" i="5"/>
  <c r="A1255" i="5"/>
  <c r="A1254" i="5"/>
  <c r="A1253" i="5"/>
  <c r="A1252" i="5"/>
  <c r="A1251" i="5"/>
  <c r="A1250" i="5"/>
  <c r="A1249" i="5"/>
  <c r="A1248" i="5"/>
  <c r="A1247" i="5"/>
  <c r="A1246" i="5"/>
  <c r="A1245" i="5"/>
  <c r="A1244" i="5"/>
  <c r="A1243" i="5"/>
  <c r="A1242" i="5"/>
  <c r="A1241" i="5"/>
  <c r="A1240" i="5"/>
  <c r="A1239" i="5"/>
  <c r="A1238" i="5"/>
  <c r="A1237" i="5"/>
  <c r="A1236" i="5"/>
  <c r="A1235" i="5"/>
  <c r="A1234" i="5"/>
  <c r="A1233" i="5"/>
  <c r="A1232" i="5"/>
  <c r="A1231" i="5"/>
  <c r="A1230" i="5"/>
  <c r="A1229" i="5"/>
  <c r="A1228" i="5"/>
  <c r="A1227" i="5"/>
  <c r="A1226" i="5"/>
  <c r="A1225" i="5"/>
  <c r="A1224" i="5"/>
  <c r="A1223" i="5"/>
  <c r="A1222" i="5"/>
  <c r="A1221" i="5"/>
  <c r="A1220" i="5"/>
  <c r="A1219" i="5"/>
  <c r="A1218" i="5"/>
  <c r="A1217" i="5"/>
  <c r="A1216" i="5"/>
  <c r="A1215" i="5"/>
  <c r="A1214" i="5"/>
  <c r="A1213" i="5"/>
  <c r="A1212" i="5"/>
  <c r="A1211" i="5"/>
  <c r="A1210" i="5"/>
  <c r="A1209" i="5"/>
  <c r="A1208" i="5"/>
  <c r="A1207" i="5"/>
  <c r="A1206" i="5"/>
  <c r="A1205" i="5"/>
  <c r="A1204" i="5"/>
  <c r="A1203" i="5"/>
  <c r="A1202" i="5"/>
  <c r="A1201" i="5"/>
  <c r="A1200" i="5"/>
  <c r="A1199" i="5"/>
  <c r="A1198" i="5"/>
  <c r="A1197" i="5"/>
  <c r="A1196" i="5"/>
  <c r="A1195" i="5"/>
  <c r="A1194" i="5"/>
  <c r="A1193" i="5"/>
  <c r="A1192" i="5"/>
  <c r="A1191" i="5"/>
  <c r="A1190" i="5"/>
  <c r="A1189" i="5"/>
  <c r="A1188" i="5"/>
  <c r="A1187" i="5"/>
  <c r="A1186" i="5"/>
  <c r="A1185" i="5"/>
  <c r="A1184" i="5"/>
  <c r="A1183" i="5"/>
  <c r="A1182" i="5"/>
  <c r="A1181" i="5"/>
  <c r="A1180" i="5"/>
  <c r="A1179" i="5"/>
  <c r="A1178" i="5"/>
  <c r="A1177" i="5"/>
  <c r="A1176" i="5"/>
  <c r="A1175" i="5"/>
  <c r="A1174" i="5"/>
  <c r="A1173" i="5"/>
  <c r="A1172" i="5"/>
  <c r="A1171" i="5"/>
  <c r="A1170" i="5"/>
  <c r="A1169" i="5"/>
  <c r="A1168" i="5"/>
  <c r="A1167" i="5"/>
  <c r="A1166" i="5"/>
  <c r="A1165" i="5"/>
  <c r="A1164" i="5"/>
  <c r="A1163" i="5"/>
  <c r="A1162" i="5"/>
  <c r="A1161" i="5"/>
  <c r="A1160" i="5"/>
  <c r="A1159" i="5"/>
  <c r="A1158" i="5"/>
  <c r="A1157" i="5"/>
  <c r="A1156" i="5"/>
  <c r="A1155" i="5"/>
  <c r="A1154" i="5"/>
  <c r="A1153" i="5"/>
  <c r="A1152" i="5"/>
  <c r="A1151" i="5"/>
  <c r="A1150" i="5"/>
  <c r="A1149" i="5"/>
  <c r="A1148" i="5"/>
  <c r="A1147" i="5"/>
  <c r="A1146" i="5"/>
  <c r="A1145" i="5"/>
  <c r="A1144" i="5"/>
  <c r="A1143" i="5"/>
  <c r="A1142" i="5"/>
  <c r="A1141" i="5"/>
  <c r="A1140" i="5"/>
  <c r="A1139" i="5"/>
  <c r="A1138" i="5"/>
  <c r="A1137" i="5"/>
  <c r="A1136" i="5"/>
  <c r="A1135" i="5"/>
  <c r="A1134" i="5"/>
  <c r="A1133" i="5"/>
  <c r="A1132" i="5"/>
  <c r="A1131" i="5"/>
  <c r="A1130" i="5"/>
  <c r="A1129" i="5"/>
  <c r="A1128" i="5"/>
  <c r="A1127" i="5"/>
  <c r="A1126" i="5"/>
  <c r="A1125" i="5"/>
  <c r="A1124" i="5"/>
  <c r="A1123" i="5"/>
  <c r="A1122" i="5"/>
  <c r="A1121" i="5"/>
  <c r="A1120" i="5"/>
  <c r="A1119" i="5"/>
  <c r="A1118" i="5"/>
  <c r="A1117" i="5"/>
  <c r="A1116" i="5"/>
  <c r="A1115" i="5"/>
  <c r="A1114" i="5"/>
  <c r="A1113" i="5"/>
  <c r="A1112" i="5"/>
  <c r="A1111" i="5"/>
  <c r="A1110" i="5"/>
  <c r="A1109" i="5"/>
  <c r="A1108" i="5"/>
  <c r="A1107" i="5"/>
  <c r="A1106" i="5"/>
  <c r="A1105" i="5"/>
  <c r="A1104" i="5"/>
  <c r="A1103" i="5"/>
  <c r="A1102" i="5"/>
  <c r="A1101" i="5"/>
  <c r="A1100" i="5"/>
  <c r="A1099" i="5"/>
  <c r="A1098" i="5"/>
  <c r="A1097" i="5"/>
  <c r="A1096" i="5"/>
  <c r="A1095" i="5"/>
  <c r="A1094" i="5"/>
  <c r="A1093" i="5"/>
  <c r="A1092" i="5"/>
  <c r="A1091" i="5"/>
  <c r="A1090" i="5"/>
  <c r="A1089" i="5"/>
  <c r="A1088" i="5"/>
  <c r="A1087" i="5"/>
  <c r="A1086" i="5"/>
  <c r="A1085" i="5"/>
  <c r="A1084" i="5"/>
  <c r="A1083" i="5"/>
  <c r="A1082" i="5"/>
  <c r="A1081" i="5"/>
  <c r="A1080" i="5"/>
  <c r="A1079" i="5"/>
  <c r="A1078" i="5"/>
  <c r="A1077" i="5"/>
  <c r="A1076" i="5"/>
  <c r="A1075" i="5"/>
  <c r="A1074" i="5"/>
  <c r="A1073" i="5"/>
  <c r="A1072" i="5"/>
  <c r="A1071" i="5"/>
  <c r="A1070" i="5"/>
  <c r="A1069" i="5"/>
  <c r="A1068" i="5"/>
  <c r="A1067" i="5"/>
  <c r="A1066" i="5"/>
  <c r="A1065" i="5"/>
  <c r="A1064" i="5"/>
  <c r="A1063" i="5"/>
  <c r="A1062" i="5"/>
  <c r="A1061" i="5"/>
  <c r="A1060" i="5"/>
  <c r="A1059" i="5"/>
  <c r="A1058" i="5"/>
  <c r="A1057" i="5"/>
  <c r="A1056" i="5"/>
  <c r="A1055" i="5"/>
  <c r="A1054" i="5"/>
  <c r="A1053" i="5"/>
  <c r="A1052" i="5"/>
  <c r="A1051" i="5"/>
  <c r="A1050" i="5"/>
  <c r="A1049" i="5"/>
  <c r="A1048" i="5"/>
  <c r="A1047" i="5"/>
  <c r="A1046" i="5"/>
  <c r="A1045" i="5"/>
  <c r="A1044" i="5"/>
  <c r="A1043" i="5"/>
  <c r="A1042" i="5"/>
  <c r="A1041" i="5"/>
  <c r="A1040" i="5"/>
  <c r="A1039" i="5"/>
  <c r="A1038" i="5"/>
  <c r="A1037" i="5"/>
  <c r="A1036" i="5"/>
  <c r="A1035" i="5"/>
  <c r="A1034" i="5"/>
  <c r="A1033" i="5"/>
  <c r="A1032" i="5"/>
  <c r="A1031" i="5"/>
  <c r="A1030" i="5"/>
  <c r="A1029" i="5"/>
  <c r="A1028" i="5"/>
  <c r="A1027" i="5"/>
  <c r="A1026" i="5"/>
  <c r="A1025" i="5"/>
  <c r="A1024" i="5"/>
  <c r="A1023" i="5"/>
  <c r="A1022" i="5"/>
  <c r="A1021" i="5"/>
  <c r="A1020" i="5"/>
  <c r="A1019" i="5"/>
  <c r="A1018" i="5"/>
  <c r="A1017" i="5"/>
  <c r="A1016" i="5"/>
  <c r="A1015" i="5"/>
  <c r="A1014" i="5"/>
  <c r="A1013" i="5"/>
  <c r="A1012" i="5"/>
  <c r="A1011" i="5"/>
  <c r="A1010" i="5"/>
  <c r="A1009" i="5"/>
  <c r="A1008" i="5"/>
  <c r="A1007" i="5"/>
  <c r="A1006" i="5"/>
  <c r="A1005" i="5"/>
  <c r="A1004" i="5"/>
  <c r="A1003" i="5"/>
  <c r="A1002" i="5"/>
  <c r="A1001" i="5"/>
  <c r="A1000" i="5"/>
  <c r="A999" i="5"/>
  <c r="A998" i="5"/>
  <c r="A997" i="5"/>
  <c r="A996" i="5"/>
  <c r="A995" i="5"/>
  <c r="A994" i="5"/>
  <c r="A993" i="5"/>
  <c r="A992" i="5"/>
  <c r="A991" i="5"/>
  <c r="A990" i="5"/>
  <c r="A989" i="5"/>
  <c r="A988" i="5"/>
  <c r="A987" i="5"/>
  <c r="A986" i="5"/>
  <c r="A985" i="5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P24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Q2" i="5"/>
  <c r="S2" i="5" s="1"/>
  <c r="S78" i="31" s="1"/>
  <c r="H20" i="73"/>
  <c r="H19" i="73"/>
  <c r="C19" i="73"/>
  <c r="G15" i="74"/>
  <c r="C15" i="74"/>
  <c r="G12" i="74"/>
  <c r="H18" i="71"/>
  <c r="H17" i="71"/>
  <c r="C17" i="71"/>
  <c r="G13" i="72"/>
  <c r="C13" i="72"/>
  <c r="H34" i="69"/>
  <c r="C22" i="70"/>
  <c r="H36" i="67"/>
  <c r="H35" i="67"/>
  <c r="C35" i="67"/>
  <c r="C23" i="68"/>
  <c r="G16" i="68"/>
  <c r="G14" i="68"/>
  <c r="H36" i="65"/>
  <c r="H35" i="65"/>
  <c r="C35" i="65"/>
  <c r="J20" i="66"/>
  <c r="G19" i="66"/>
  <c r="L14" i="66"/>
  <c r="J14" i="66"/>
  <c r="K14" i="66" s="1"/>
  <c r="L13" i="66"/>
  <c r="J13" i="66"/>
  <c r="K13" i="66" s="1"/>
  <c r="H18" i="63"/>
  <c r="H17" i="63"/>
  <c r="C17" i="63"/>
  <c r="C14" i="64"/>
  <c r="G12" i="64"/>
  <c r="H35" i="61"/>
  <c r="C35" i="61"/>
  <c r="T16" i="61"/>
  <c r="C23" i="62"/>
  <c r="L13" i="62"/>
  <c r="K13" i="62"/>
  <c r="J13" i="62"/>
  <c r="G13" i="62"/>
  <c r="G15" i="59"/>
  <c r="C15" i="59"/>
  <c r="C13" i="60"/>
  <c r="H48" i="57"/>
  <c r="H47" i="57"/>
  <c r="C47" i="57"/>
  <c r="T34" i="57"/>
  <c r="F33" i="57"/>
  <c r="F22" i="58" s="1"/>
  <c r="G22" i="58" s="1"/>
  <c r="T24" i="57"/>
  <c r="I17" i="58" s="1"/>
  <c r="F23" i="57"/>
  <c r="C29" i="58"/>
  <c r="I22" i="58"/>
  <c r="G17" i="58"/>
  <c r="F17" i="58"/>
  <c r="H42" i="55"/>
  <c r="H41" i="55"/>
  <c r="C41" i="55"/>
  <c r="T20" i="55"/>
  <c r="I15" i="56" s="1"/>
  <c r="F19" i="55"/>
  <c r="C26" i="56"/>
  <c r="G17" i="56"/>
  <c r="G16" i="56"/>
  <c r="G15" i="56"/>
  <c r="F15" i="56"/>
  <c r="G12" i="56"/>
  <c r="H26" i="53"/>
  <c r="H25" i="53"/>
  <c r="C25" i="53"/>
  <c r="I15" i="53"/>
  <c r="C17" i="54"/>
  <c r="I16" i="54"/>
  <c r="H22" i="51"/>
  <c r="H21" i="51"/>
  <c r="G21" i="51"/>
  <c r="C21" i="51"/>
  <c r="G15" i="52"/>
  <c r="C15" i="52"/>
  <c r="C14" i="52"/>
  <c r="H26" i="49"/>
  <c r="H25" i="49"/>
  <c r="C25" i="49"/>
  <c r="C18" i="50"/>
  <c r="G13" i="50"/>
  <c r="H33" i="47"/>
  <c r="C33" i="47"/>
  <c r="C22" i="48"/>
  <c r="H54" i="45"/>
  <c r="H53" i="45"/>
  <c r="C53" i="45"/>
  <c r="T34" i="45"/>
  <c r="C32" i="46"/>
  <c r="L22" i="46"/>
  <c r="K22" i="46"/>
  <c r="J22" i="46"/>
  <c r="G22" i="46"/>
  <c r="H26" i="43"/>
  <c r="H25" i="43"/>
  <c r="C25" i="43"/>
  <c r="T24" i="43"/>
  <c r="T23" i="43"/>
  <c r="F23" i="43"/>
  <c r="T22" i="43"/>
  <c r="T21" i="43"/>
  <c r="C18" i="44"/>
  <c r="I17" i="44"/>
  <c r="J17" i="44" s="1"/>
  <c r="K17" i="44" s="1"/>
  <c r="H17" i="44"/>
  <c r="L17" i="44" s="1"/>
  <c r="L16" i="44"/>
  <c r="J16" i="44"/>
  <c r="K16" i="44" s="1"/>
  <c r="H18" i="41"/>
  <c r="C18" i="41"/>
  <c r="H17" i="41"/>
  <c r="C14" i="42"/>
  <c r="H22" i="39"/>
  <c r="H21" i="39"/>
  <c r="C21" i="39"/>
  <c r="T20" i="39"/>
  <c r="T19" i="39"/>
  <c r="F19" i="39"/>
  <c r="T18" i="39"/>
  <c r="T17" i="39"/>
  <c r="C16" i="40"/>
  <c r="I15" i="40"/>
  <c r="L15" i="40" s="1"/>
  <c r="H15" i="40"/>
  <c r="I14" i="40"/>
  <c r="H14" i="40"/>
  <c r="H28" i="37"/>
  <c r="H27" i="37"/>
  <c r="C27" i="37"/>
  <c r="C20" i="38"/>
  <c r="L19" i="38"/>
  <c r="K19" i="38"/>
  <c r="J19" i="38"/>
  <c r="H34" i="35"/>
  <c r="H33" i="35"/>
  <c r="C33" i="35"/>
  <c r="T14" i="35"/>
  <c r="T13" i="35"/>
  <c r="Q24" i="36"/>
  <c r="R24" i="36" s="1"/>
  <c r="P24" i="36"/>
  <c r="P23" i="36"/>
  <c r="Q23" i="36" s="1"/>
  <c r="R23" i="36" s="1"/>
  <c r="P22" i="36"/>
  <c r="Q22" i="36" s="1"/>
  <c r="R22" i="36" s="1"/>
  <c r="O22" i="36"/>
  <c r="O23" i="36" s="1"/>
  <c r="O24" i="36" s="1"/>
  <c r="C22" i="36"/>
  <c r="P21" i="36"/>
  <c r="Q21" i="36" s="1"/>
  <c r="R21" i="36" s="1"/>
  <c r="P18" i="36"/>
  <c r="Q18" i="36" s="1"/>
  <c r="R18" i="36" s="1"/>
  <c r="P17" i="36"/>
  <c r="Q17" i="36" s="1"/>
  <c r="R17" i="36" s="1"/>
  <c r="P16" i="36"/>
  <c r="Q16" i="36" s="1"/>
  <c r="R16" i="36" s="1"/>
  <c r="O16" i="36"/>
  <c r="O17" i="36" s="1"/>
  <c r="O18" i="36" s="1"/>
  <c r="P15" i="36"/>
  <c r="Q15" i="36" s="1"/>
  <c r="R15" i="36" s="1"/>
  <c r="O15" i="36"/>
  <c r="G15" i="36"/>
  <c r="P14" i="36"/>
  <c r="Q14" i="36" s="1"/>
  <c r="R14" i="36" s="1"/>
  <c r="O14" i="36"/>
  <c r="P13" i="36"/>
  <c r="P25" i="36" s="1"/>
  <c r="L12" i="36"/>
  <c r="J12" i="36"/>
  <c r="K12" i="36" s="1"/>
  <c r="O9" i="36"/>
  <c r="H16" i="33"/>
  <c r="H15" i="33"/>
  <c r="G13" i="34"/>
  <c r="C13" i="34"/>
  <c r="H83" i="31"/>
  <c r="H82" i="31"/>
  <c r="C82" i="31"/>
  <c r="T81" i="31"/>
  <c r="T80" i="31"/>
  <c r="T79" i="31"/>
  <c r="R78" i="31"/>
  <c r="P78" i="31"/>
  <c r="N78" i="31"/>
  <c r="L78" i="31"/>
  <c r="J78" i="31"/>
  <c r="T73" i="31"/>
  <c r="I41" i="32" s="1"/>
  <c r="R72" i="31"/>
  <c r="P72" i="31"/>
  <c r="T47" i="31"/>
  <c r="I28" i="32" s="1"/>
  <c r="R46" i="31"/>
  <c r="P46" i="31"/>
  <c r="N46" i="31"/>
  <c r="L46" i="31"/>
  <c r="J46" i="31"/>
  <c r="C46" i="32"/>
  <c r="J45" i="32"/>
  <c r="I44" i="32"/>
  <c r="F44" i="32"/>
  <c r="G44" i="32" s="1"/>
  <c r="G41" i="32"/>
  <c r="F41" i="32"/>
  <c r="G28" i="32"/>
  <c r="F28" i="32"/>
  <c r="H22" i="29"/>
  <c r="C21" i="29"/>
  <c r="F15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F13" i="29" s="1"/>
  <c r="C16" i="30"/>
  <c r="G14" i="30"/>
  <c r="F13" i="30"/>
  <c r="G13" i="30" s="1"/>
  <c r="H26" i="27"/>
  <c r="H25" i="27"/>
  <c r="C25" i="27"/>
  <c r="T24" i="27"/>
  <c r="T23" i="27"/>
  <c r="C19" i="28"/>
  <c r="I18" i="28"/>
  <c r="H18" i="28"/>
  <c r="J18" i="28" s="1"/>
  <c r="L17" i="28"/>
  <c r="K17" i="28"/>
  <c r="J17" i="28"/>
  <c r="G15" i="28"/>
  <c r="H38" i="25"/>
  <c r="H37" i="25"/>
  <c r="C37" i="25"/>
  <c r="T32" i="25"/>
  <c r="T31" i="25"/>
  <c r="T28" i="25"/>
  <c r="T27" i="25"/>
  <c r="C24" i="26"/>
  <c r="L21" i="26"/>
  <c r="J21" i="26"/>
  <c r="K21" i="26" s="1"/>
  <c r="F21" i="26"/>
  <c r="L19" i="26"/>
  <c r="J19" i="26"/>
  <c r="K19" i="26" s="1"/>
  <c r="F19" i="26"/>
  <c r="G18" i="26"/>
  <c r="G16" i="26"/>
  <c r="G15" i="26"/>
  <c r="G14" i="26"/>
  <c r="H44" i="23"/>
  <c r="H43" i="23"/>
  <c r="C43" i="23"/>
  <c r="T36" i="23"/>
  <c r="T35" i="23"/>
  <c r="G35" i="23"/>
  <c r="T32" i="23"/>
  <c r="T31" i="23"/>
  <c r="G31" i="23"/>
  <c r="T26" i="23"/>
  <c r="T25" i="23"/>
  <c r="C27" i="24"/>
  <c r="L23" i="24"/>
  <c r="J23" i="24"/>
  <c r="K23" i="24" s="1"/>
  <c r="F23" i="24"/>
  <c r="L21" i="24"/>
  <c r="K21" i="24"/>
  <c r="J21" i="24"/>
  <c r="F21" i="24"/>
  <c r="L18" i="24"/>
  <c r="J18" i="24"/>
  <c r="K18" i="24" s="1"/>
  <c r="S28" i="21"/>
  <c r="R28" i="21"/>
  <c r="Q28" i="21"/>
  <c r="H28" i="21"/>
  <c r="G28" i="21"/>
  <c r="C27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N24" i="21"/>
  <c r="M24" i="21"/>
  <c r="L24" i="21"/>
  <c r="K24" i="21"/>
  <c r="J24" i="21"/>
  <c r="I24" i="21"/>
  <c r="T24" i="21" s="1"/>
  <c r="I17" i="22" s="1"/>
  <c r="S23" i="21"/>
  <c r="R23" i="21"/>
  <c r="Q23" i="21"/>
  <c r="P23" i="21"/>
  <c r="L23" i="21"/>
  <c r="K23" i="21"/>
  <c r="J23" i="21"/>
  <c r="I23" i="21"/>
  <c r="H23" i="21"/>
  <c r="G23" i="21"/>
  <c r="O23" i="21" s="1"/>
  <c r="J22" i="21"/>
  <c r="T22" i="21" s="1"/>
  <c r="I16" i="22" s="1"/>
  <c r="S21" i="21"/>
  <c r="Q21" i="21"/>
  <c r="K21" i="21"/>
  <c r="I21" i="21"/>
  <c r="G21" i="21"/>
  <c r="N21" i="21" s="1"/>
  <c r="M20" i="21"/>
  <c r="L20" i="21"/>
  <c r="K20" i="21"/>
  <c r="J20" i="21"/>
  <c r="I20" i="21"/>
  <c r="S19" i="21"/>
  <c r="R19" i="21"/>
  <c r="Q19" i="21"/>
  <c r="P19" i="21"/>
  <c r="N19" i="21"/>
  <c r="M19" i="21"/>
  <c r="L19" i="21"/>
  <c r="K19" i="21"/>
  <c r="J19" i="21"/>
  <c r="I19" i="21"/>
  <c r="H19" i="21"/>
  <c r="G19" i="21"/>
  <c r="O19" i="21" s="1"/>
  <c r="F19" i="21"/>
  <c r="F15" i="22" s="1"/>
  <c r="N18" i="21"/>
  <c r="T18" i="21" s="1"/>
  <c r="I14" i="22" s="1"/>
  <c r="S17" i="21"/>
  <c r="R17" i="21"/>
  <c r="Q17" i="21"/>
  <c r="M17" i="21"/>
  <c r="L17" i="21"/>
  <c r="K17" i="21"/>
  <c r="J17" i="21"/>
  <c r="I17" i="21"/>
  <c r="G17" i="21"/>
  <c r="P17" i="21" s="1"/>
  <c r="P16" i="21"/>
  <c r="O16" i="21"/>
  <c r="N16" i="21"/>
  <c r="M16" i="21"/>
  <c r="L16" i="21"/>
  <c r="K16" i="21"/>
  <c r="J16" i="21"/>
  <c r="I16" i="21"/>
  <c r="S15" i="21"/>
  <c r="Q15" i="21"/>
  <c r="K15" i="21"/>
  <c r="I15" i="21"/>
  <c r="G15" i="21"/>
  <c r="N15" i="21" s="1"/>
  <c r="T14" i="21"/>
  <c r="I12" i="22" s="1"/>
  <c r="F13" i="21"/>
  <c r="C20" i="22"/>
  <c r="F18" i="22"/>
  <c r="G18" i="22" s="1"/>
  <c r="G17" i="22"/>
  <c r="G16" i="22"/>
  <c r="F12" i="22"/>
  <c r="G12" i="22" s="1"/>
  <c r="H45" i="19"/>
  <c r="H44" i="19"/>
  <c r="C44" i="19"/>
  <c r="T41" i="19"/>
  <c r="I26" i="20" s="1"/>
  <c r="F40" i="19"/>
  <c r="F34" i="19"/>
  <c r="F23" i="20" s="1"/>
  <c r="G23" i="20" s="1"/>
  <c r="T33" i="19"/>
  <c r="F32" i="19"/>
  <c r="S8" i="19"/>
  <c r="R8" i="19"/>
  <c r="Q8" i="19"/>
  <c r="P8" i="19"/>
  <c r="O8" i="19"/>
  <c r="N8" i="19"/>
  <c r="M8" i="19"/>
  <c r="L8" i="19"/>
  <c r="I8" i="19"/>
  <c r="H8" i="19"/>
  <c r="C28" i="20"/>
  <c r="F27" i="20"/>
  <c r="F26" i="20"/>
  <c r="G26" i="20" s="1"/>
  <c r="I22" i="20"/>
  <c r="F22" i="20"/>
  <c r="G22" i="20" s="1"/>
  <c r="H38" i="17"/>
  <c r="H37" i="17"/>
  <c r="S21" i="17"/>
  <c r="R21" i="17"/>
  <c r="Q21" i="17"/>
  <c r="P21" i="17"/>
  <c r="O21" i="17"/>
  <c r="N21" i="17"/>
  <c r="M21" i="17"/>
  <c r="L21" i="17"/>
  <c r="K21" i="17"/>
  <c r="R13" i="17"/>
  <c r="C24" i="18"/>
  <c r="J23" i="18"/>
  <c r="B19" i="18"/>
  <c r="A19" i="18"/>
  <c r="B18" i="18"/>
  <c r="A18" i="18"/>
  <c r="H23" i="15"/>
  <c r="C23" i="15"/>
  <c r="I18" i="15"/>
  <c r="O16" i="15"/>
  <c r="C17" i="16"/>
  <c r="G12" i="16"/>
  <c r="H28" i="13"/>
  <c r="C28" i="13"/>
  <c r="H27" i="13"/>
  <c r="C27" i="13"/>
  <c r="K23" i="13"/>
  <c r="I18" i="13"/>
  <c r="Q15" i="13"/>
  <c r="C22" i="14"/>
  <c r="C21" i="14"/>
  <c r="L20" i="14"/>
  <c r="K20" i="14"/>
  <c r="J20" i="14"/>
  <c r="L19" i="14"/>
  <c r="L17" i="11"/>
  <c r="I16" i="11"/>
  <c r="H16" i="11"/>
  <c r="I15" i="11"/>
  <c r="H15" i="11"/>
  <c r="C15" i="11"/>
  <c r="K14" i="11"/>
  <c r="K16" i="11" s="1"/>
  <c r="J13" i="11"/>
  <c r="J15" i="11" s="1"/>
  <c r="G13" i="12"/>
  <c r="C13" i="12"/>
  <c r="H24" i="10"/>
  <c r="H23" i="10"/>
  <c r="C23" i="10"/>
  <c r="K22" i="10"/>
  <c r="M20" i="10"/>
  <c r="L19" i="10"/>
  <c r="N17" i="10"/>
  <c r="M16" i="10"/>
  <c r="O14" i="10"/>
  <c r="N13" i="10"/>
  <c r="C17" i="76"/>
  <c r="G15" i="76"/>
  <c r="G12" i="76"/>
  <c r="H15" i="75"/>
  <c r="C15" i="75"/>
  <c r="N14" i="75"/>
  <c r="N16" i="75" s="1"/>
  <c r="G14" i="7"/>
  <c r="C14" i="7"/>
  <c r="L12" i="7"/>
  <c r="K12" i="7"/>
  <c r="J12" i="7"/>
  <c r="C17" i="2"/>
  <c r="H16" i="2"/>
  <c r="G16" i="2"/>
  <c r="G15" i="2"/>
  <c r="H15" i="2" s="1"/>
  <c r="H14" i="2"/>
  <c r="G14" i="2"/>
  <c r="G13" i="2"/>
  <c r="H13" i="2" s="1"/>
  <c r="H12" i="2"/>
  <c r="H17" i="2" s="1"/>
  <c r="G12" i="2"/>
  <c r="G17" i="2" s="1"/>
  <c r="H27" i="1"/>
  <c r="H26" i="1"/>
  <c r="C26" i="1"/>
  <c r="K25" i="1"/>
  <c r="R24" i="1"/>
  <c r="J24" i="1"/>
  <c r="Q23" i="1"/>
  <c r="S21" i="1"/>
  <c r="R20" i="1"/>
  <c r="I19" i="1"/>
  <c r="S17" i="1"/>
  <c r="J16" i="1"/>
  <c r="I15" i="1"/>
  <c r="G18" i="4"/>
  <c r="C18" i="4"/>
  <c r="B46" i="6"/>
  <c r="B45" i="6"/>
  <c r="B44" i="6"/>
  <c r="H43" i="6"/>
  <c r="G43" i="6"/>
  <c r="F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2" i="6"/>
  <c r="B21" i="6"/>
  <c r="B20" i="6"/>
  <c r="B19" i="6"/>
  <c r="B18" i="6"/>
  <c r="B17" i="6"/>
  <c r="B16" i="6"/>
  <c r="B15" i="6"/>
  <c r="B14" i="6"/>
  <c r="B13" i="6"/>
  <c r="B12" i="6"/>
  <c r="B11" i="6"/>
  <c r="F8" i="6"/>
  <c r="I46" i="31" l="1"/>
  <c r="K46" i="31"/>
  <c r="M46" i="31"/>
  <c r="O46" i="31"/>
  <c r="Q46" i="31"/>
  <c r="S46" i="31"/>
  <c r="O72" i="31"/>
  <c r="Q72" i="31"/>
  <c r="S72" i="31"/>
  <c r="I78" i="31"/>
  <c r="K78" i="31"/>
  <c r="M78" i="31"/>
  <c r="O78" i="31"/>
  <c r="Q78" i="31"/>
  <c r="J15" i="15"/>
  <c r="M39" i="19"/>
  <c r="L14" i="40"/>
  <c r="F26" i="29"/>
  <c r="F12" i="30"/>
  <c r="G12" i="30" s="1"/>
  <c r="G16" i="30" s="1"/>
  <c r="K27" i="21"/>
  <c r="T21" i="17"/>
  <c r="O15" i="21"/>
  <c r="O21" i="21"/>
  <c r="H21" i="29"/>
  <c r="M19" i="1"/>
  <c r="L22" i="1"/>
  <c r="I13" i="75"/>
  <c r="I15" i="75" s="1"/>
  <c r="S14" i="10"/>
  <c r="Q20" i="10"/>
  <c r="P17" i="11"/>
  <c r="J13" i="13"/>
  <c r="R16" i="1"/>
  <c r="Q19" i="1"/>
  <c r="P22" i="1"/>
  <c r="O25" i="1"/>
  <c r="M13" i="75"/>
  <c r="M15" i="75" s="1"/>
  <c r="L15" i="10"/>
  <c r="K18" i="10"/>
  <c r="J21" i="10"/>
  <c r="S14" i="11"/>
  <c r="S16" i="11" s="1"/>
  <c r="N18" i="11"/>
  <c r="P13" i="13"/>
  <c r="M19" i="13"/>
  <c r="N19" i="15"/>
  <c r="G13" i="21"/>
  <c r="H13" i="21" s="1"/>
  <c r="I13" i="21" s="1"/>
  <c r="J13" i="21" s="1"/>
  <c r="K13" i="21" s="1"/>
  <c r="L13" i="21" s="1"/>
  <c r="M13" i="21" s="1"/>
  <c r="N13" i="21" s="1"/>
  <c r="O13" i="21" s="1"/>
  <c r="P13" i="21" s="1"/>
  <c r="Q13" i="21" s="1"/>
  <c r="R13" i="21" s="1"/>
  <c r="S13" i="21" s="1"/>
  <c r="S27" i="21" s="1"/>
  <c r="H15" i="21"/>
  <c r="F15" i="21" s="1"/>
  <c r="F13" i="22" s="1"/>
  <c r="G13" i="22" s="1"/>
  <c r="G20" i="22" s="1"/>
  <c r="P15" i="21"/>
  <c r="H21" i="21"/>
  <c r="P21" i="21"/>
  <c r="P27" i="21" s="1"/>
  <c r="Q13" i="36"/>
  <c r="J15" i="40"/>
  <c r="K15" i="40" s="1"/>
  <c r="N16" i="1"/>
  <c r="R17" i="10"/>
  <c r="O14" i="11"/>
  <c r="O16" i="11" s="1"/>
  <c r="Q18" i="13"/>
  <c r="L14" i="1"/>
  <c r="K17" i="1"/>
  <c r="J20" i="1"/>
  <c r="I23" i="1"/>
  <c r="S25" i="1"/>
  <c r="Q13" i="75"/>
  <c r="Q15" i="75" s="1"/>
  <c r="P15" i="10"/>
  <c r="O18" i="10"/>
  <c r="N21" i="10"/>
  <c r="M14" i="13"/>
  <c r="L20" i="13"/>
  <c r="S20" i="15"/>
  <c r="T20" i="21"/>
  <c r="I15" i="22" s="1"/>
  <c r="B47" i="6"/>
  <c r="B49" i="6" s="1"/>
  <c r="P14" i="1"/>
  <c r="O17" i="1"/>
  <c r="N20" i="1"/>
  <c r="M23" i="1"/>
  <c r="J14" i="75"/>
  <c r="J16" i="75" s="1"/>
  <c r="J13" i="10"/>
  <c r="I16" i="10"/>
  <c r="S18" i="10"/>
  <c r="R21" i="10"/>
  <c r="I15" i="13"/>
  <c r="R21" i="13"/>
  <c r="M22" i="15"/>
  <c r="J15" i="21"/>
  <c r="J27" i="21" s="1"/>
  <c r="R15" i="21"/>
  <c r="R27" i="21" s="1"/>
  <c r="J21" i="21"/>
  <c r="R21" i="21"/>
  <c r="M15" i="1"/>
  <c r="L18" i="1"/>
  <c r="K21" i="1"/>
  <c r="R14" i="75"/>
  <c r="R16" i="75" s="1"/>
  <c r="R13" i="10"/>
  <c r="Q16" i="10"/>
  <c r="P19" i="10"/>
  <c r="O22" i="10"/>
  <c r="N13" i="11"/>
  <c r="N15" i="11" s="1"/>
  <c r="N16" i="13"/>
  <c r="P24" i="13"/>
  <c r="P13" i="15"/>
  <c r="K15" i="17"/>
  <c r="L15" i="21"/>
  <c r="L27" i="21" s="1"/>
  <c r="N17" i="21"/>
  <c r="N27" i="21" s="1"/>
  <c r="L21" i="21"/>
  <c r="M23" i="21"/>
  <c r="Q15" i="1"/>
  <c r="P18" i="1"/>
  <c r="O21" i="1"/>
  <c r="N24" i="1"/>
  <c r="K14" i="10"/>
  <c r="J17" i="10"/>
  <c r="I20" i="10"/>
  <c r="S22" i="10"/>
  <c r="R13" i="11"/>
  <c r="R15" i="11" s="1"/>
  <c r="L17" i="13"/>
  <c r="K26" i="13"/>
  <c r="F21" i="17"/>
  <c r="M15" i="21"/>
  <c r="M27" i="21" s="1"/>
  <c r="O17" i="21"/>
  <c r="O27" i="21" s="1"/>
  <c r="M21" i="21"/>
  <c r="F23" i="21"/>
  <c r="F17" i="22" s="1"/>
  <c r="N23" i="21"/>
  <c r="H17" i="21"/>
  <c r="F17" i="21" s="1"/>
  <c r="F14" i="22" s="1"/>
  <c r="F21" i="21"/>
  <c r="F16" i="22" s="1"/>
  <c r="P16" i="17"/>
  <c r="K18" i="17"/>
  <c r="O19" i="17"/>
  <c r="I23" i="17"/>
  <c r="N24" i="17"/>
  <c r="S25" i="17"/>
  <c r="N27" i="17"/>
  <c r="S28" i="17"/>
  <c r="L30" i="17"/>
  <c r="I32" i="17"/>
  <c r="R34" i="17"/>
  <c r="I14" i="19"/>
  <c r="I17" i="19"/>
  <c r="R19" i="19"/>
  <c r="Q22" i="19"/>
  <c r="Q25" i="19"/>
  <c r="P28" i="19"/>
  <c r="N31" i="19"/>
  <c r="M36" i="19"/>
  <c r="P36" i="57"/>
  <c r="O43" i="19"/>
  <c r="J42" i="19"/>
  <c r="P38" i="19"/>
  <c r="J37" i="19"/>
  <c r="Q30" i="19"/>
  <c r="M29" i="19"/>
  <c r="R27" i="19"/>
  <c r="M26" i="19"/>
  <c r="I25" i="19"/>
  <c r="N23" i="19"/>
  <c r="I22" i="19"/>
  <c r="P20" i="19"/>
  <c r="J19" i="19"/>
  <c r="Q17" i="19"/>
  <c r="L16" i="19"/>
  <c r="Q14" i="19"/>
  <c r="M13" i="19"/>
  <c r="P35" i="17"/>
  <c r="J34" i="17"/>
  <c r="Q32" i="17"/>
  <c r="N31" i="17"/>
  <c r="P30" i="17"/>
  <c r="S29" i="17"/>
  <c r="K29" i="17"/>
  <c r="O28" i="17"/>
  <c r="R27" i="17"/>
  <c r="J27" i="17"/>
  <c r="L26" i="17"/>
  <c r="O25" i="17"/>
  <c r="R24" i="17"/>
  <c r="J24" i="17"/>
  <c r="M23" i="17"/>
  <c r="P20" i="17"/>
  <c r="S19" i="17"/>
  <c r="K19" i="17"/>
  <c r="O18" i="17"/>
  <c r="R17" i="17"/>
  <c r="J17" i="17"/>
  <c r="L16" i="17"/>
  <c r="O15" i="17"/>
  <c r="S14" i="17"/>
  <c r="K14" i="17"/>
  <c r="N13" i="17"/>
  <c r="Q22" i="15"/>
  <c r="I22" i="15"/>
  <c r="L21" i="15"/>
  <c r="O20" i="15"/>
  <c r="R19" i="15"/>
  <c r="J19" i="15"/>
  <c r="M18" i="15"/>
  <c r="P17" i="15"/>
  <c r="S16" i="15"/>
  <c r="K16" i="15"/>
  <c r="N15" i="15"/>
  <c r="Q14" i="15"/>
  <c r="I14" i="15"/>
  <c r="L13" i="15"/>
  <c r="O26" i="13"/>
  <c r="R25" i="13"/>
  <c r="J25" i="13"/>
  <c r="L24" i="13"/>
  <c r="O23" i="13"/>
  <c r="S22" i="13"/>
  <c r="K22" i="13"/>
  <c r="N21" i="13"/>
  <c r="P20" i="13"/>
  <c r="S19" i="13"/>
  <c r="O19" i="13"/>
  <c r="K19" i="13"/>
  <c r="S18" i="13"/>
  <c r="O18" i="13"/>
  <c r="K18" i="13"/>
  <c r="R17" i="13"/>
  <c r="N17" i="13"/>
  <c r="J17" i="13"/>
  <c r="P16" i="13"/>
  <c r="L16" i="13"/>
  <c r="S15" i="13"/>
  <c r="O15" i="13"/>
  <c r="K15" i="13"/>
  <c r="S14" i="13"/>
  <c r="O14" i="13"/>
  <c r="K14" i="13"/>
  <c r="R13" i="13"/>
  <c r="N13" i="13"/>
  <c r="J14" i="1"/>
  <c r="N14" i="1"/>
  <c r="R14" i="1"/>
  <c r="K15" i="1"/>
  <c r="O15" i="1"/>
  <c r="S15" i="1"/>
  <c r="L16" i="1"/>
  <c r="P16" i="1"/>
  <c r="I17" i="1"/>
  <c r="M17" i="1"/>
  <c r="Q17" i="1"/>
  <c r="J18" i="1"/>
  <c r="N18" i="1"/>
  <c r="R18" i="1"/>
  <c r="K19" i="1"/>
  <c r="O19" i="1"/>
  <c r="S19" i="1"/>
  <c r="L20" i="1"/>
  <c r="P20" i="1"/>
  <c r="P26" i="1" s="1"/>
  <c r="I21" i="1"/>
  <c r="M21" i="1"/>
  <c r="Q21" i="1"/>
  <c r="J22" i="1"/>
  <c r="N22" i="1"/>
  <c r="R22" i="1"/>
  <c r="K23" i="1"/>
  <c r="O23" i="1"/>
  <c r="S23" i="1"/>
  <c r="L24" i="1"/>
  <c r="P24" i="1"/>
  <c r="I25" i="1"/>
  <c r="M25" i="1"/>
  <c r="Q25" i="1"/>
  <c r="K13" i="75"/>
  <c r="K15" i="75" s="1"/>
  <c r="O13" i="75"/>
  <c r="O15" i="75" s="1"/>
  <c r="S13" i="75"/>
  <c r="S15" i="75" s="1"/>
  <c r="L14" i="75"/>
  <c r="L16" i="75" s="1"/>
  <c r="P14" i="75"/>
  <c r="P16" i="75" s="1"/>
  <c r="L13" i="10"/>
  <c r="P13" i="10"/>
  <c r="I14" i="10"/>
  <c r="M14" i="10"/>
  <c r="Q14" i="10"/>
  <c r="J15" i="10"/>
  <c r="N15" i="10"/>
  <c r="R15" i="10"/>
  <c r="K16" i="10"/>
  <c r="O16" i="10"/>
  <c r="S16" i="10"/>
  <c r="L17" i="10"/>
  <c r="P17" i="10"/>
  <c r="P23" i="10" s="1"/>
  <c r="I18" i="10"/>
  <c r="M18" i="10"/>
  <c r="Q18" i="10"/>
  <c r="J19" i="10"/>
  <c r="N19" i="10"/>
  <c r="R19" i="10"/>
  <c r="K20" i="10"/>
  <c r="O20" i="10"/>
  <c r="S20" i="10"/>
  <c r="L21" i="10"/>
  <c r="P21" i="10"/>
  <c r="I22" i="10"/>
  <c r="M22" i="10"/>
  <c r="Q22" i="10"/>
  <c r="L13" i="11"/>
  <c r="L15" i="11" s="1"/>
  <c r="P13" i="11"/>
  <c r="P15" i="11" s="1"/>
  <c r="T13" i="11"/>
  <c r="T15" i="11" s="1"/>
  <c r="M14" i="11"/>
  <c r="M16" i="11" s="1"/>
  <c r="Q14" i="11"/>
  <c r="Q16" i="11" s="1"/>
  <c r="N17" i="11"/>
  <c r="L18" i="11"/>
  <c r="P18" i="11"/>
  <c r="L13" i="13"/>
  <c r="I14" i="13"/>
  <c r="Q14" i="13"/>
  <c r="M15" i="13"/>
  <c r="J16" i="13"/>
  <c r="R16" i="13"/>
  <c r="P17" i="13"/>
  <c r="M18" i="13"/>
  <c r="I19" i="13"/>
  <c r="Q19" i="13"/>
  <c r="J21" i="13"/>
  <c r="O22" i="13"/>
  <c r="S23" i="13"/>
  <c r="N25" i="13"/>
  <c r="S26" i="13"/>
  <c r="M14" i="15"/>
  <c r="R15" i="15"/>
  <c r="L17" i="15"/>
  <c r="Q18" i="15"/>
  <c r="K20" i="15"/>
  <c r="P21" i="15"/>
  <c r="J13" i="17"/>
  <c r="O14" i="17"/>
  <c r="S15" i="17"/>
  <c r="N17" i="17"/>
  <c r="S18" i="17"/>
  <c r="L20" i="17"/>
  <c r="Q23" i="17"/>
  <c r="K25" i="17"/>
  <c r="P26" i="17"/>
  <c r="K28" i="17"/>
  <c r="O29" i="17"/>
  <c r="J31" i="17"/>
  <c r="M33" i="17"/>
  <c r="M36" i="17"/>
  <c r="P12" i="19"/>
  <c r="N15" i="19"/>
  <c r="M18" i="19"/>
  <c r="M21" i="19"/>
  <c r="L24" i="19"/>
  <c r="J27" i="19"/>
  <c r="I30" i="19"/>
  <c r="R37" i="19"/>
  <c r="R42" i="19"/>
  <c r="M43" i="19"/>
  <c r="I43" i="19"/>
  <c r="P42" i="19"/>
  <c r="L42" i="19"/>
  <c r="S39" i="19"/>
  <c r="O39" i="19"/>
  <c r="K39" i="19"/>
  <c r="R38" i="19"/>
  <c r="N38" i="19"/>
  <c r="J38" i="19"/>
  <c r="P37" i="19"/>
  <c r="L37" i="19"/>
  <c r="S36" i="19"/>
  <c r="O36" i="19"/>
  <c r="K36" i="19"/>
  <c r="P31" i="19"/>
  <c r="L31" i="19"/>
  <c r="S30" i="19"/>
  <c r="O30" i="19"/>
  <c r="K30" i="19"/>
  <c r="S29" i="19"/>
  <c r="O29" i="19"/>
  <c r="K29" i="19"/>
  <c r="R28" i="19"/>
  <c r="N28" i="19"/>
  <c r="J28" i="19"/>
  <c r="P27" i="19"/>
  <c r="L27" i="19"/>
  <c r="S26" i="19"/>
  <c r="O26" i="19"/>
  <c r="K26" i="19"/>
  <c r="S25" i="19"/>
  <c r="O25" i="19"/>
  <c r="K25" i="19"/>
  <c r="R24" i="19"/>
  <c r="N24" i="19"/>
  <c r="J24" i="19"/>
  <c r="P23" i="19"/>
  <c r="L23" i="19"/>
  <c r="S22" i="19"/>
  <c r="O22" i="19"/>
  <c r="K22" i="19"/>
  <c r="S21" i="19"/>
  <c r="O21" i="19"/>
  <c r="K21" i="19"/>
  <c r="R20" i="19"/>
  <c r="N20" i="19"/>
  <c r="J20" i="19"/>
  <c r="P19" i="19"/>
  <c r="L19" i="19"/>
  <c r="S18" i="19"/>
  <c r="O18" i="19"/>
  <c r="K18" i="19"/>
  <c r="S17" i="19"/>
  <c r="O17" i="19"/>
  <c r="K17" i="19"/>
  <c r="R16" i="19"/>
  <c r="N16" i="19"/>
  <c r="J16" i="19"/>
  <c r="P15" i="19"/>
  <c r="L15" i="19"/>
  <c r="S14" i="19"/>
  <c r="O14" i="19"/>
  <c r="K14" i="19"/>
  <c r="S13" i="19"/>
  <c r="O13" i="19"/>
  <c r="K13" i="19"/>
  <c r="R12" i="19"/>
  <c r="N12" i="19"/>
  <c r="J12" i="19"/>
  <c r="S36" i="17"/>
  <c r="O36" i="17"/>
  <c r="K36" i="17"/>
  <c r="R35" i="17"/>
  <c r="N35" i="17"/>
  <c r="J35" i="17"/>
  <c r="P34" i="17"/>
  <c r="L34" i="17"/>
  <c r="S33" i="17"/>
  <c r="O33" i="17"/>
  <c r="K33" i="17"/>
  <c r="S32" i="17"/>
  <c r="O32" i="17"/>
  <c r="K32" i="17"/>
  <c r="R31" i="17"/>
  <c r="K13" i="73"/>
  <c r="J20" i="13"/>
  <c r="N20" i="13"/>
  <c r="R20" i="13"/>
  <c r="L21" i="13"/>
  <c r="P21" i="13"/>
  <c r="I22" i="13"/>
  <c r="M22" i="13"/>
  <c r="Q22" i="13"/>
  <c r="I23" i="13"/>
  <c r="M23" i="13"/>
  <c r="Q23" i="13"/>
  <c r="J24" i="13"/>
  <c r="N24" i="13"/>
  <c r="R24" i="13"/>
  <c r="L25" i="13"/>
  <c r="P25" i="13"/>
  <c r="I26" i="13"/>
  <c r="M26" i="13"/>
  <c r="Q26" i="13"/>
  <c r="J13" i="15"/>
  <c r="N13" i="15"/>
  <c r="R13" i="15"/>
  <c r="K14" i="15"/>
  <c r="O14" i="15"/>
  <c r="S14" i="15"/>
  <c r="L15" i="15"/>
  <c r="P15" i="15"/>
  <c r="I16" i="15"/>
  <c r="M16" i="15"/>
  <c r="Q16" i="15"/>
  <c r="J17" i="15"/>
  <c r="N17" i="15"/>
  <c r="N23" i="15" s="1"/>
  <c r="R17" i="15"/>
  <c r="K18" i="15"/>
  <c r="O18" i="15"/>
  <c r="S18" i="15"/>
  <c r="L19" i="15"/>
  <c r="P19" i="15"/>
  <c r="I20" i="15"/>
  <c r="M20" i="15"/>
  <c r="Q20" i="15"/>
  <c r="J21" i="15"/>
  <c r="N21" i="15"/>
  <c r="R21" i="15"/>
  <c r="R23" i="15" s="1"/>
  <c r="K22" i="15"/>
  <c r="O22" i="15"/>
  <c r="S22" i="15"/>
  <c r="L13" i="17"/>
  <c r="P13" i="17"/>
  <c r="I14" i="17"/>
  <c r="M14" i="17"/>
  <c r="Q14" i="17"/>
  <c r="I15" i="17"/>
  <c r="M15" i="17"/>
  <c r="Q15" i="17"/>
  <c r="J16" i="17"/>
  <c r="N16" i="17"/>
  <c r="R16" i="17"/>
  <c r="L17" i="17"/>
  <c r="P17" i="17"/>
  <c r="I18" i="17"/>
  <c r="M18" i="17"/>
  <c r="Q18" i="17"/>
  <c r="I19" i="17"/>
  <c r="M19" i="17"/>
  <c r="Q19" i="17"/>
  <c r="J20" i="17"/>
  <c r="N20" i="17"/>
  <c r="R20" i="17"/>
  <c r="K23" i="17"/>
  <c r="O23" i="17"/>
  <c r="S23" i="17"/>
  <c r="L24" i="17"/>
  <c r="P24" i="17"/>
  <c r="I25" i="17"/>
  <c r="M25" i="17"/>
  <c r="Q25" i="17"/>
  <c r="J26" i="17"/>
  <c r="N26" i="17"/>
  <c r="R26" i="17"/>
  <c r="L27" i="17"/>
  <c r="P27" i="17"/>
  <c r="I28" i="17"/>
  <c r="M28" i="17"/>
  <c r="Q28" i="17"/>
  <c r="I29" i="17"/>
  <c r="M29" i="17"/>
  <c r="Q29" i="17"/>
  <c r="J30" i="17"/>
  <c r="N30" i="17"/>
  <c r="R30" i="17"/>
  <c r="L31" i="17"/>
  <c r="P31" i="17"/>
  <c r="M32" i="17"/>
  <c r="I33" i="17"/>
  <c r="Q33" i="17"/>
  <c r="N34" i="17"/>
  <c r="L35" i="17"/>
  <c r="I36" i="17"/>
  <c r="Q36" i="17"/>
  <c r="L12" i="19"/>
  <c r="I13" i="19"/>
  <c r="Q13" i="19"/>
  <c r="M14" i="19"/>
  <c r="J15" i="19"/>
  <c r="R15" i="19"/>
  <c r="P16" i="19"/>
  <c r="M17" i="19"/>
  <c r="I18" i="19"/>
  <c r="Q18" i="19"/>
  <c r="N19" i="19"/>
  <c r="L20" i="19"/>
  <c r="I21" i="19"/>
  <c r="Q21" i="19"/>
  <c r="M22" i="19"/>
  <c r="J23" i="19"/>
  <c r="R23" i="19"/>
  <c r="P24" i="19"/>
  <c r="M25" i="19"/>
  <c r="I26" i="19"/>
  <c r="Q26" i="19"/>
  <c r="N27" i="19"/>
  <c r="L28" i="19"/>
  <c r="I29" i="19"/>
  <c r="Q29" i="19"/>
  <c r="M30" i="19"/>
  <c r="J31" i="19"/>
  <c r="R31" i="19"/>
  <c r="I36" i="19"/>
  <c r="Q36" i="19"/>
  <c r="N37" i="19"/>
  <c r="L38" i="19"/>
  <c r="I39" i="19"/>
  <c r="Q39" i="19"/>
  <c r="N42" i="19"/>
  <c r="K43" i="19"/>
  <c r="J14" i="40"/>
  <c r="K14" i="40" s="1"/>
  <c r="J23" i="10"/>
  <c r="N23" i="10"/>
  <c r="R23" i="10"/>
  <c r="P23" i="15"/>
  <c r="L23" i="10"/>
  <c r="Q43" i="19"/>
  <c r="S43" i="19"/>
  <c r="I26" i="21"/>
  <c r="K26" i="21"/>
  <c r="K28" i="21" s="1"/>
  <c r="M26" i="21"/>
  <c r="M28" i="21" s="1"/>
  <c r="O26" i="21"/>
  <c r="O28" i="21" s="1"/>
  <c r="I29" i="21"/>
  <c r="K29" i="21"/>
  <c r="M29" i="21"/>
  <c r="O29" i="21"/>
  <c r="Q29" i="21"/>
  <c r="S29" i="21"/>
  <c r="I30" i="21"/>
  <c r="K30" i="21"/>
  <c r="M30" i="21"/>
  <c r="O30" i="21"/>
  <c r="Q30" i="21"/>
  <c r="S30" i="21"/>
  <c r="I13" i="23"/>
  <c r="K13" i="23"/>
  <c r="M13" i="23"/>
  <c r="O13" i="23"/>
  <c r="Q13" i="23"/>
  <c r="S13" i="23"/>
  <c r="J14" i="23"/>
  <c r="L14" i="23"/>
  <c r="N14" i="23"/>
  <c r="P14" i="23"/>
  <c r="R14" i="23"/>
  <c r="I15" i="23"/>
  <c r="K15" i="23"/>
  <c r="M15" i="23"/>
  <c r="O15" i="23"/>
  <c r="Q15" i="23"/>
  <c r="S15" i="23"/>
  <c r="J16" i="23"/>
  <c r="L16" i="23"/>
  <c r="N16" i="23"/>
  <c r="P16" i="23"/>
  <c r="R16" i="23"/>
  <c r="I17" i="23"/>
  <c r="K17" i="23"/>
  <c r="M17" i="23"/>
  <c r="O17" i="23"/>
  <c r="Q17" i="23"/>
  <c r="S17" i="23"/>
  <c r="J18" i="23"/>
  <c r="L18" i="23"/>
  <c r="N18" i="23"/>
  <c r="P18" i="23"/>
  <c r="R18" i="23"/>
  <c r="J19" i="23"/>
  <c r="L19" i="23"/>
  <c r="N19" i="23"/>
  <c r="P19" i="23"/>
  <c r="R19" i="23"/>
  <c r="I20" i="23"/>
  <c r="K20" i="23"/>
  <c r="M20" i="23"/>
  <c r="O20" i="23"/>
  <c r="Q20" i="23"/>
  <c r="S20" i="23"/>
  <c r="J21" i="23"/>
  <c r="L21" i="23"/>
  <c r="N21" i="23"/>
  <c r="P21" i="23"/>
  <c r="R21" i="23"/>
  <c r="I22" i="23"/>
  <c r="K22" i="23"/>
  <c r="M22" i="23"/>
  <c r="O22" i="23"/>
  <c r="Q22" i="23"/>
  <c r="S22" i="23"/>
  <c r="I23" i="23"/>
  <c r="K23" i="23"/>
  <c r="M23" i="23"/>
  <c r="O23" i="23"/>
  <c r="Q23" i="23"/>
  <c r="S23" i="23"/>
  <c r="J24" i="23"/>
  <c r="L24" i="23"/>
  <c r="N24" i="23"/>
  <c r="P24" i="23"/>
  <c r="R24" i="23"/>
  <c r="I27" i="23"/>
  <c r="K27" i="23"/>
  <c r="M27" i="23"/>
  <c r="O27" i="23"/>
  <c r="Q27" i="23"/>
  <c r="S27" i="23"/>
  <c r="J28" i="23"/>
  <c r="L28" i="23"/>
  <c r="N28" i="23"/>
  <c r="P28" i="23"/>
  <c r="R28" i="23"/>
  <c r="J29" i="23"/>
  <c r="L29" i="23"/>
  <c r="N29" i="23"/>
  <c r="P29" i="23"/>
  <c r="R29" i="23"/>
  <c r="I30" i="23"/>
  <c r="K30" i="23"/>
  <c r="M30" i="23"/>
  <c r="O30" i="23"/>
  <c r="Q30" i="23"/>
  <c r="S30" i="23"/>
  <c r="J33" i="23"/>
  <c r="L33" i="23"/>
  <c r="N33" i="23"/>
  <c r="P33" i="23"/>
  <c r="R33" i="23"/>
  <c r="I34" i="23"/>
  <c r="K34" i="23"/>
  <c r="M34" i="23"/>
  <c r="O34" i="23"/>
  <c r="Q34" i="23"/>
  <c r="S34" i="23"/>
  <c r="I37" i="23"/>
  <c r="K37" i="23"/>
  <c r="M37" i="23"/>
  <c r="O37" i="23"/>
  <c r="Q37" i="23"/>
  <c r="S37" i="23"/>
  <c r="J38" i="23"/>
  <c r="L38" i="23"/>
  <c r="N38" i="23"/>
  <c r="P38" i="23"/>
  <c r="R38" i="23"/>
  <c r="I39" i="23"/>
  <c r="K39" i="23"/>
  <c r="M39" i="23"/>
  <c r="O39" i="23"/>
  <c r="Q39" i="23"/>
  <c r="S39" i="23"/>
  <c r="J40" i="23"/>
  <c r="L40" i="23"/>
  <c r="N40" i="23"/>
  <c r="P40" i="23"/>
  <c r="R40" i="23"/>
  <c r="J41" i="23"/>
  <c r="L41" i="23"/>
  <c r="N41" i="23"/>
  <c r="P41" i="23"/>
  <c r="R41" i="23"/>
  <c r="I42" i="23"/>
  <c r="K42" i="23"/>
  <c r="M42" i="23"/>
  <c r="O42" i="23"/>
  <c r="Q42" i="23"/>
  <c r="S42" i="23"/>
  <c r="J13" i="25"/>
  <c r="L13" i="25"/>
  <c r="N13" i="25"/>
  <c r="P13" i="25"/>
  <c r="R13" i="25"/>
  <c r="I14" i="25"/>
  <c r="K14" i="25"/>
  <c r="M14" i="25"/>
  <c r="O14" i="25"/>
  <c r="Q14" i="25"/>
  <c r="S14" i="25"/>
  <c r="I15" i="25"/>
  <c r="K15" i="25"/>
  <c r="M15" i="25"/>
  <c r="O15" i="25"/>
  <c r="Q15" i="25"/>
  <c r="S15" i="25"/>
  <c r="J16" i="25"/>
  <c r="L16" i="25"/>
  <c r="N16" i="25"/>
  <c r="P16" i="25"/>
  <c r="R16" i="25"/>
  <c r="J17" i="25"/>
  <c r="L17" i="25"/>
  <c r="N17" i="25"/>
  <c r="P17" i="25"/>
  <c r="R17" i="25"/>
  <c r="I18" i="25"/>
  <c r="K18" i="25"/>
  <c r="M18" i="25"/>
  <c r="O18" i="25"/>
  <c r="Q18" i="25"/>
  <c r="S18" i="25"/>
  <c r="I19" i="25"/>
  <c r="K19" i="25"/>
  <c r="M19" i="25"/>
  <c r="O19" i="25"/>
  <c r="Q19" i="25"/>
  <c r="S19" i="25"/>
  <c r="J20" i="25"/>
  <c r="L20" i="25"/>
  <c r="N20" i="25"/>
  <c r="P20" i="25"/>
  <c r="R20" i="25"/>
  <c r="J21" i="25"/>
  <c r="L21" i="25"/>
  <c r="N21" i="25"/>
  <c r="P21" i="25"/>
  <c r="R21" i="25"/>
  <c r="I22" i="25"/>
  <c r="K22" i="25"/>
  <c r="M22" i="25"/>
  <c r="O22" i="25"/>
  <c r="Q22" i="25"/>
  <c r="S22" i="25"/>
  <c r="I23" i="25"/>
  <c r="K23" i="25"/>
  <c r="M23" i="25"/>
  <c r="O23" i="25"/>
  <c r="Q23" i="25"/>
  <c r="S23" i="25"/>
  <c r="J24" i="25"/>
  <c r="L24" i="25"/>
  <c r="N24" i="25"/>
  <c r="P24" i="25"/>
  <c r="R24" i="25"/>
  <c r="J25" i="25"/>
  <c r="L25" i="25"/>
  <c r="N25" i="25"/>
  <c r="P25" i="25"/>
  <c r="R25" i="25"/>
  <c r="I26" i="25"/>
  <c r="K26" i="25"/>
  <c r="M26" i="25"/>
  <c r="O26" i="25"/>
  <c r="Q26" i="25"/>
  <c r="S26" i="25"/>
  <c r="I29" i="25"/>
  <c r="K29" i="25"/>
  <c r="M29" i="25"/>
  <c r="O29" i="25"/>
  <c r="Q29" i="25"/>
  <c r="S29" i="25"/>
  <c r="J30" i="25"/>
  <c r="L30" i="25"/>
  <c r="N30" i="25"/>
  <c r="P30" i="25"/>
  <c r="R30" i="25"/>
  <c r="J33" i="25"/>
  <c r="L33" i="25"/>
  <c r="N33" i="25"/>
  <c r="P33" i="25"/>
  <c r="R33" i="25"/>
  <c r="I34" i="25"/>
  <c r="K34" i="25"/>
  <c r="M34" i="25"/>
  <c r="O34" i="25"/>
  <c r="Q34" i="25"/>
  <c r="S34" i="25"/>
  <c r="I35" i="25"/>
  <c r="K35" i="25"/>
  <c r="M35" i="25"/>
  <c r="O35" i="25"/>
  <c r="Q35" i="25"/>
  <c r="S35" i="25"/>
  <c r="J36" i="25"/>
  <c r="L36" i="25"/>
  <c r="N36" i="25"/>
  <c r="P36" i="25"/>
  <c r="R36" i="25"/>
  <c r="J13" i="27"/>
  <c r="L13" i="27"/>
  <c r="N13" i="27"/>
  <c r="P13" i="27"/>
  <c r="R13" i="27"/>
  <c r="I14" i="27"/>
  <c r="K14" i="27"/>
  <c r="M14" i="27"/>
  <c r="O14" i="27"/>
  <c r="Q14" i="27"/>
  <c r="S14" i="27"/>
  <c r="J15" i="27"/>
  <c r="L15" i="27"/>
  <c r="N15" i="27"/>
  <c r="P15" i="27"/>
  <c r="R15" i="27"/>
  <c r="I16" i="27"/>
  <c r="K16" i="27"/>
  <c r="M16" i="27"/>
  <c r="O16" i="27"/>
  <c r="Q16" i="27"/>
  <c r="S16" i="27"/>
  <c r="J17" i="27"/>
  <c r="L17" i="27"/>
  <c r="N17" i="27"/>
  <c r="P17" i="27"/>
  <c r="R17" i="27"/>
  <c r="I18" i="27"/>
  <c r="K18" i="27"/>
  <c r="M18" i="27"/>
  <c r="O18" i="27"/>
  <c r="Q18" i="27"/>
  <c r="S18" i="27"/>
  <c r="J19" i="27"/>
  <c r="L19" i="27"/>
  <c r="N19" i="27"/>
  <c r="P19" i="27"/>
  <c r="R19" i="27"/>
  <c r="I20" i="27"/>
  <c r="K20" i="27"/>
  <c r="M20" i="27"/>
  <c r="O20" i="27"/>
  <c r="Q20" i="27"/>
  <c r="S20" i="27"/>
  <c r="J21" i="27"/>
  <c r="L21" i="27"/>
  <c r="N21" i="27"/>
  <c r="P21" i="27"/>
  <c r="R21" i="27"/>
  <c r="I22" i="27"/>
  <c r="K22" i="27"/>
  <c r="M22" i="27"/>
  <c r="O22" i="27"/>
  <c r="Q22" i="27"/>
  <c r="S22" i="27"/>
  <c r="I14" i="29"/>
  <c r="T14" i="29" s="1"/>
  <c r="I12" i="30" s="1"/>
  <c r="I16" i="29"/>
  <c r="T16" i="29" s="1"/>
  <c r="I13" i="30" s="1"/>
  <c r="I17" i="29"/>
  <c r="K17" i="29"/>
  <c r="M17" i="29"/>
  <c r="O17" i="29"/>
  <c r="Q17" i="29"/>
  <c r="S17" i="29"/>
  <c r="J18" i="29"/>
  <c r="L18" i="29"/>
  <c r="N18" i="29"/>
  <c r="P18" i="29"/>
  <c r="R18" i="29"/>
  <c r="J19" i="29"/>
  <c r="J21" i="29" s="1"/>
  <c r="L19" i="29"/>
  <c r="L21" i="29" s="1"/>
  <c r="N19" i="29"/>
  <c r="N21" i="29" s="1"/>
  <c r="P19" i="29"/>
  <c r="R19" i="29"/>
  <c r="I20" i="29"/>
  <c r="K20" i="29"/>
  <c r="K22" i="29" s="1"/>
  <c r="M20" i="29"/>
  <c r="M22" i="29" s="1"/>
  <c r="O20" i="29"/>
  <c r="O22" i="29" s="1"/>
  <c r="Q20" i="29"/>
  <c r="S20" i="29"/>
  <c r="I24" i="29"/>
  <c r="K24" i="29"/>
  <c r="M24" i="29"/>
  <c r="O24" i="29"/>
  <c r="Q24" i="29"/>
  <c r="S24" i="29"/>
  <c r="I14" i="31"/>
  <c r="K14" i="31"/>
  <c r="M14" i="31"/>
  <c r="O14" i="31"/>
  <c r="Q14" i="31"/>
  <c r="S14" i="31"/>
  <c r="J15" i="31"/>
  <c r="L15" i="31"/>
  <c r="N15" i="31"/>
  <c r="P15" i="31"/>
  <c r="R15" i="31"/>
  <c r="J16" i="31"/>
  <c r="L16" i="31"/>
  <c r="N16" i="31"/>
  <c r="P16" i="31"/>
  <c r="R16" i="31"/>
  <c r="I17" i="31"/>
  <c r="K17" i="31"/>
  <c r="M17" i="31"/>
  <c r="O17" i="31"/>
  <c r="Q17" i="31"/>
  <c r="S17" i="31"/>
  <c r="I18" i="31"/>
  <c r="K18" i="31"/>
  <c r="M18" i="31"/>
  <c r="O18" i="31"/>
  <c r="Q18" i="31"/>
  <c r="S18" i="31"/>
  <c r="J19" i="31"/>
  <c r="L19" i="31"/>
  <c r="O19" i="31"/>
  <c r="S19" i="31"/>
  <c r="K20" i="31"/>
  <c r="O20" i="31"/>
  <c r="S20" i="31"/>
  <c r="L21" i="31"/>
  <c r="P21" i="31"/>
  <c r="L22" i="31"/>
  <c r="P22" i="31"/>
  <c r="I23" i="31"/>
  <c r="M23" i="31"/>
  <c r="Q23" i="31"/>
  <c r="I24" i="31"/>
  <c r="M24" i="31"/>
  <c r="Q24" i="31"/>
  <c r="J25" i="31"/>
  <c r="N25" i="31"/>
  <c r="R25" i="31"/>
  <c r="J26" i="31"/>
  <c r="N26" i="31"/>
  <c r="R26" i="31"/>
  <c r="K27" i="31"/>
  <c r="O27" i="31"/>
  <c r="S27" i="31"/>
  <c r="K28" i="31"/>
  <c r="O28" i="31"/>
  <c r="S28" i="31"/>
  <c r="L29" i="31"/>
  <c r="P29" i="31"/>
  <c r="L30" i="31"/>
  <c r="P30" i="31"/>
  <c r="I31" i="31"/>
  <c r="M31" i="31"/>
  <c r="Q31" i="31"/>
  <c r="I32" i="31"/>
  <c r="M32" i="31"/>
  <c r="Q32" i="31"/>
  <c r="J33" i="31"/>
  <c r="N33" i="31"/>
  <c r="R33" i="31"/>
  <c r="J34" i="31"/>
  <c r="N34" i="31"/>
  <c r="R34" i="31"/>
  <c r="K35" i="31"/>
  <c r="O35" i="31"/>
  <c r="S35" i="31"/>
  <c r="K36" i="31"/>
  <c r="O36" i="31"/>
  <c r="S36" i="31"/>
  <c r="L37" i="31"/>
  <c r="P37" i="31"/>
  <c r="L38" i="31"/>
  <c r="P38" i="31"/>
  <c r="I39" i="31"/>
  <c r="M39" i="31"/>
  <c r="Q39" i="31"/>
  <c r="I40" i="31"/>
  <c r="M40" i="31"/>
  <c r="Q40" i="31"/>
  <c r="J41" i="31"/>
  <c r="N41" i="31"/>
  <c r="R41" i="31"/>
  <c r="J42" i="31"/>
  <c r="N42" i="31"/>
  <c r="R42" i="31"/>
  <c r="K43" i="31"/>
  <c r="O43" i="31"/>
  <c r="S43" i="31"/>
  <c r="K44" i="31"/>
  <c r="O44" i="31"/>
  <c r="S44" i="31"/>
  <c r="L45" i="31"/>
  <c r="P45" i="31"/>
  <c r="I48" i="31"/>
  <c r="M48" i="31"/>
  <c r="Q48" i="31"/>
  <c r="J49" i="31"/>
  <c r="N49" i="31"/>
  <c r="R49" i="31"/>
  <c r="K50" i="31"/>
  <c r="O50" i="31"/>
  <c r="S50" i="31"/>
  <c r="L51" i="31"/>
  <c r="P51" i="31"/>
  <c r="I52" i="31"/>
  <c r="M52" i="31"/>
  <c r="Q52" i="31"/>
  <c r="J53" i="31"/>
  <c r="N53" i="31"/>
  <c r="R53" i="31"/>
  <c r="K54" i="31"/>
  <c r="O54" i="31"/>
  <c r="S54" i="31"/>
  <c r="L55" i="31"/>
  <c r="P55" i="31"/>
  <c r="I56" i="31"/>
  <c r="M56" i="31"/>
  <c r="Q56" i="31"/>
  <c r="J57" i="31"/>
  <c r="N57" i="31"/>
  <c r="R57" i="31"/>
  <c r="K58" i="31"/>
  <c r="O58" i="31"/>
  <c r="S58" i="31"/>
  <c r="L59" i="31"/>
  <c r="P59" i="31"/>
  <c r="I60" i="31"/>
  <c r="M60" i="31"/>
  <c r="Q60" i="31"/>
  <c r="J61" i="31"/>
  <c r="N61" i="31"/>
  <c r="R61" i="31"/>
  <c r="K62" i="31"/>
  <c r="O62" i="31"/>
  <c r="S62" i="31"/>
  <c r="L63" i="31"/>
  <c r="P63" i="31"/>
  <c r="I64" i="31"/>
  <c r="M64" i="31"/>
  <c r="Q64" i="31"/>
  <c r="J65" i="31"/>
  <c r="N65" i="31"/>
  <c r="R65" i="31"/>
  <c r="K66" i="31"/>
  <c r="O66" i="31"/>
  <c r="S66" i="31"/>
  <c r="L67" i="31"/>
  <c r="P67" i="31"/>
  <c r="I68" i="31"/>
  <c r="M68" i="31"/>
  <c r="Q68" i="31"/>
  <c r="J69" i="31"/>
  <c r="N69" i="31"/>
  <c r="R69" i="31"/>
  <c r="K70" i="31"/>
  <c r="O70" i="31"/>
  <c r="S70" i="31"/>
  <c r="L71" i="31"/>
  <c r="P71" i="31"/>
  <c r="L74" i="31"/>
  <c r="P74" i="31"/>
  <c r="I75" i="31"/>
  <c r="M75" i="31"/>
  <c r="Q75" i="31"/>
  <c r="I76" i="31"/>
  <c r="M76" i="31"/>
  <c r="Q76" i="31"/>
  <c r="J77" i="31"/>
  <c r="N77" i="31"/>
  <c r="R77" i="31"/>
  <c r="J13" i="33"/>
  <c r="J15" i="33" s="1"/>
  <c r="N13" i="33"/>
  <c r="N15" i="33" s="1"/>
  <c r="R13" i="33"/>
  <c r="R15" i="33" s="1"/>
  <c r="K14" i="33"/>
  <c r="K16" i="33" s="1"/>
  <c r="O14" i="33"/>
  <c r="O16" i="33" s="1"/>
  <c r="S14" i="33"/>
  <c r="S16" i="33" s="1"/>
  <c r="K15" i="35"/>
  <c r="O15" i="35"/>
  <c r="S15" i="35"/>
  <c r="L16" i="35"/>
  <c r="P16" i="35"/>
  <c r="L17" i="35"/>
  <c r="P17" i="35"/>
  <c r="I18" i="35"/>
  <c r="M18" i="35"/>
  <c r="Q18" i="35"/>
  <c r="I19" i="35"/>
  <c r="M19" i="35"/>
  <c r="Q19" i="35"/>
  <c r="J20" i="35"/>
  <c r="N20" i="35"/>
  <c r="R20" i="35"/>
  <c r="J21" i="35"/>
  <c r="N21" i="35"/>
  <c r="R21" i="35"/>
  <c r="K22" i="35"/>
  <c r="O22" i="35"/>
  <c r="S22" i="35"/>
  <c r="K23" i="35"/>
  <c r="O23" i="35"/>
  <c r="S23" i="35"/>
  <c r="L24" i="35"/>
  <c r="P24" i="35"/>
  <c r="L25" i="35"/>
  <c r="P25" i="35"/>
  <c r="I26" i="35"/>
  <c r="M26" i="35"/>
  <c r="Q26" i="35"/>
  <c r="I27" i="35"/>
  <c r="M27" i="35"/>
  <c r="Q27" i="35"/>
  <c r="J28" i="35"/>
  <c r="N28" i="35"/>
  <c r="R28" i="35"/>
  <c r="J29" i="35"/>
  <c r="N29" i="35"/>
  <c r="R29" i="35"/>
  <c r="K30" i="35"/>
  <c r="O30" i="35"/>
  <c r="S30" i="35"/>
  <c r="K31" i="35"/>
  <c r="O31" i="35"/>
  <c r="S31" i="35"/>
  <c r="L32" i="35"/>
  <c r="P32" i="35"/>
  <c r="J13" i="37"/>
  <c r="N13" i="37"/>
  <c r="R13" i="37"/>
  <c r="K14" i="37"/>
  <c r="O14" i="37"/>
  <c r="S14" i="37"/>
  <c r="L15" i="37"/>
  <c r="P15" i="37"/>
  <c r="I16" i="37"/>
  <c r="M16" i="37"/>
  <c r="Q16" i="37"/>
  <c r="J17" i="37"/>
  <c r="N17" i="37"/>
  <c r="R17" i="37"/>
  <c r="K18" i="37"/>
  <c r="O18" i="37"/>
  <c r="S18" i="37"/>
  <c r="L19" i="37"/>
  <c r="P19" i="37"/>
  <c r="I20" i="37"/>
  <c r="M20" i="37"/>
  <c r="Q20" i="37"/>
  <c r="J21" i="37"/>
  <c r="N21" i="37"/>
  <c r="R21" i="37"/>
  <c r="K22" i="37"/>
  <c r="O22" i="37"/>
  <c r="S22" i="37"/>
  <c r="L23" i="37"/>
  <c r="P23" i="37"/>
  <c r="I24" i="37"/>
  <c r="M24" i="37"/>
  <c r="Q24" i="37"/>
  <c r="I25" i="37"/>
  <c r="M25" i="37"/>
  <c r="Q25" i="37"/>
  <c r="J26" i="37"/>
  <c r="N26" i="37"/>
  <c r="R26" i="37"/>
  <c r="L13" i="39"/>
  <c r="P13" i="39"/>
  <c r="I14" i="39"/>
  <c r="M14" i="39"/>
  <c r="Q14" i="39"/>
  <c r="J15" i="39"/>
  <c r="N15" i="39"/>
  <c r="R15" i="39"/>
  <c r="K16" i="39"/>
  <c r="O16" i="39"/>
  <c r="S16" i="39"/>
  <c r="I13" i="41"/>
  <c r="M13" i="41"/>
  <c r="Q13" i="41"/>
  <c r="J14" i="41"/>
  <c r="N14" i="41"/>
  <c r="R14" i="41"/>
  <c r="J15" i="41"/>
  <c r="N15" i="41"/>
  <c r="R15" i="41"/>
  <c r="K16" i="41"/>
  <c r="O16" i="41"/>
  <c r="S16" i="41"/>
  <c r="J13" i="43"/>
  <c r="N13" i="43"/>
  <c r="R13" i="43"/>
  <c r="K14" i="43"/>
  <c r="O14" i="43"/>
  <c r="S14" i="43"/>
  <c r="L15" i="43"/>
  <c r="P15" i="43"/>
  <c r="I16" i="43"/>
  <c r="M16" i="43"/>
  <c r="Q16" i="43"/>
  <c r="J17" i="43"/>
  <c r="N17" i="43"/>
  <c r="R17" i="43"/>
  <c r="K18" i="43"/>
  <c r="O18" i="43"/>
  <c r="S18" i="43"/>
  <c r="L19" i="43"/>
  <c r="P19" i="43"/>
  <c r="I20" i="43"/>
  <c r="M20" i="43"/>
  <c r="Q20" i="43"/>
  <c r="J13" i="45"/>
  <c r="N13" i="45"/>
  <c r="R13" i="45"/>
  <c r="K14" i="45"/>
  <c r="O14" i="45"/>
  <c r="S14" i="45"/>
  <c r="L15" i="45"/>
  <c r="P15" i="45"/>
  <c r="I16" i="45"/>
  <c r="M16" i="45"/>
  <c r="Q16" i="45"/>
  <c r="J17" i="45"/>
  <c r="N17" i="45"/>
  <c r="R17" i="45"/>
  <c r="K18" i="45"/>
  <c r="O18" i="45"/>
  <c r="S18" i="45"/>
  <c r="L19" i="45"/>
  <c r="P19" i="45"/>
  <c r="I20" i="45"/>
  <c r="M20" i="45"/>
  <c r="Q20" i="45"/>
  <c r="J21" i="45"/>
  <c r="N21" i="45"/>
  <c r="R21" i="45"/>
  <c r="K22" i="45"/>
  <c r="O22" i="45"/>
  <c r="S22" i="45"/>
  <c r="L23" i="45"/>
  <c r="P23" i="45"/>
  <c r="I24" i="45"/>
  <c r="M24" i="45"/>
  <c r="Q24" i="45"/>
  <c r="J25" i="45"/>
  <c r="N25" i="45"/>
  <c r="R25" i="45"/>
  <c r="K26" i="45"/>
  <c r="O26" i="45"/>
  <c r="S26" i="45"/>
  <c r="L27" i="45"/>
  <c r="P27" i="45"/>
  <c r="I28" i="45"/>
  <c r="M28" i="45"/>
  <c r="Q28" i="45"/>
  <c r="J29" i="45"/>
  <c r="N29" i="45"/>
  <c r="R29" i="45"/>
  <c r="K30" i="45"/>
  <c r="O30" i="45"/>
  <c r="S30" i="45"/>
  <c r="L31" i="45"/>
  <c r="P31" i="45"/>
  <c r="I32" i="45"/>
  <c r="M32" i="45"/>
  <c r="Q32" i="45"/>
  <c r="L35" i="45"/>
  <c r="P35" i="45"/>
  <c r="I36" i="45"/>
  <c r="M36" i="45"/>
  <c r="Q36" i="45"/>
  <c r="J37" i="45"/>
  <c r="N37" i="45"/>
  <c r="R37" i="45"/>
  <c r="K38" i="45"/>
  <c r="O38" i="45"/>
  <c r="S38" i="45"/>
  <c r="L39" i="45"/>
  <c r="P39" i="45"/>
  <c r="I40" i="45"/>
  <c r="M40" i="45"/>
  <c r="Q40" i="45"/>
  <c r="J41" i="45"/>
  <c r="N41" i="45"/>
  <c r="R41" i="45"/>
  <c r="K42" i="45"/>
  <c r="O42" i="45"/>
  <c r="S42" i="45"/>
  <c r="L43" i="45"/>
  <c r="P43" i="45"/>
  <c r="I44" i="45"/>
  <c r="M44" i="45"/>
  <c r="Q44" i="45"/>
  <c r="J45" i="45"/>
  <c r="N45" i="45"/>
  <c r="R45" i="45"/>
  <c r="K46" i="45"/>
  <c r="O46" i="45"/>
  <c r="S46" i="45"/>
  <c r="L47" i="45"/>
  <c r="P47" i="45"/>
  <c r="I48" i="45"/>
  <c r="M48" i="45"/>
  <c r="Q48" i="45"/>
  <c r="J49" i="45"/>
  <c r="N49" i="45"/>
  <c r="R49" i="45"/>
  <c r="K50" i="45"/>
  <c r="O50" i="45"/>
  <c r="S50" i="45"/>
  <c r="L51" i="45"/>
  <c r="P51" i="45"/>
  <c r="I52" i="45"/>
  <c r="M52" i="45"/>
  <c r="Q52" i="45"/>
  <c r="L13" i="47"/>
  <c r="P13" i="47"/>
  <c r="I14" i="47"/>
  <c r="M14" i="47"/>
  <c r="Q14" i="47"/>
  <c r="J15" i="47"/>
  <c r="N15" i="47"/>
  <c r="R15" i="47"/>
  <c r="K16" i="47"/>
  <c r="O16" i="47"/>
  <c r="S16" i="47"/>
  <c r="L17" i="47"/>
  <c r="P17" i="47"/>
  <c r="I18" i="47"/>
  <c r="M18" i="47"/>
  <c r="Q18" i="47"/>
  <c r="J19" i="47"/>
  <c r="N19" i="47"/>
  <c r="R19" i="47"/>
  <c r="K20" i="47"/>
  <c r="O20" i="47"/>
  <c r="S20" i="47"/>
  <c r="L21" i="47"/>
  <c r="P21" i="47"/>
  <c r="I22" i="47"/>
  <c r="M22" i="47"/>
  <c r="Q22" i="47"/>
  <c r="J23" i="47"/>
  <c r="N23" i="47"/>
  <c r="R23" i="47"/>
  <c r="K24" i="47"/>
  <c r="O24" i="47"/>
  <c r="S24" i="47"/>
  <c r="L25" i="47"/>
  <c r="P25" i="47"/>
  <c r="I26" i="47"/>
  <c r="M26" i="47"/>
  <c r="Q26" i="47"/>
  <c r="J27" i="47"/>
  <c r="N27" i="47"/>
  <c r="R27" i="47"/>
  <c r="K28" i="47"/>
  <c r="O28" i="47"/>
  <c r="S28" i="47"/>
  <c r="L29" i="47"/>
  <c r="P29" i="47"/>
  <c r="I30" i="47"/>
  <c r="M30" i="47"/>
  <c r="Q30" i="47"/>
  <c r="J31" i="47"/>
  <c r="N31" i="47"/>
  <c r="R31" i="47"/>
  <c r="K32" i="47"/>
  <c r="O32" i="47"/>
  <c r="S32" i="47"/>
  <c r="K13" i="49"/>
  <c r="O13" i="49"/>
  <c r="S13" i="49"/>
  <c r="L14" i="49"/>
  <c r="P14" i="49"/>
  <c r="L15" i="49"/>
  <c r="P15" i="49"/>
  <c r="I16" i="49"/>
  <c r="M16" i="49"/>
  <c r="Q16" i="49"/>
  <c r="I17" i="49"/>
  <c r="M17" i="49"/>
  <c r="Q17" i="49"/>
  <c r="J18" i="49"/>
  <c r="N18" i="49"/>
  <c r="R18" i="49"/>
  <c r="J19" i="49"/>
  <c r="N19" i="49"/>
  <c r="R19" i="49"/>
  <c r="K20" i="49"/>
  <c r="O20" i="49"/>
  <c r="S20" i="49"/>
  <c r="K21" i="49"/>
  <c r="O21" i="49"/>
  <c r="S21" i="49"/>
  <c r="L22" i="49"/>
  <c r="P22" i="49"/>
  <c r="L23" i="49"/>
  <c r="P23" i="49"/>
  <c r="I24" i="49"/>
  <c r="M24" i="49"/>
  <c r="Q24" i="49"/>
  <c r="J13" i="51"/>
  <c r="N13" i="51"/>
  <c r="R13" i="51"/>
  <c r="K14" i="51"/>
  <c r="O14" i="51"/>
  <c r="S14" i="51"/>
  <c r="L15" i="51"/>
  <c r="P15" i="51"/>
  <c r="I16" i="51"/>
  <c r="M16" i="51"/>
  <c r="Q16" i="51"/>
  <c r="N17" i="51"/>
  <c r="K18" i="51"/>
  <c r="S18" i="51"/>
  <c r="P19" i="51"/>
  <c r="M20" i="51"/>
  <c r="L13" i="53"/>
  <c r="I14" i="53"/>
  <c r="Q14" i="53"/>
  <c r="M15" i="53"/>
  <c r="J16" i="53"/>
  <c r="R16" i="53"/>
  <c r="N17" i="53"/>
  <c r="K18" i="53"/>
  <c r="S18" i="53"/>
  <c r="O21" i="53"/>
  <c r="L22" i="53"/>
  <c r="P23" i="53"/>
  <c r="M24" i="53"/>
  <c r="M13" i="55"/>
  <c r="J14" i="55"/>
  <c r="R14" i="55"/>
  <c r="N15" i="55"/>
  <c r="K16" i="55"/>
  <c r="S16" i="55"/>
  <c r="O17" i="55"/>
  <c r="L18" i="55"/>
  <c r="I21" i="55"/>
  <c r="Q21" i="55"/>
  <c r="N22" i="55"/>
  <c r="K23" i="55"/>
  <c r="S23" i="55"/>
  <c r="P24" i="55"/>
  <c r="L25" i="55"/>
  <c r="I26" i="55"/>
  <c r="Q26" i="55"/>
  <c r="M27" i="55"/>
  <c r="J28" i="55"/>
  <c r="R28" i="55"/>
  <c r="N29" i="55"/>
  <c r="K30" i="55"/>
  <c r="S30" i="55"/>
  <c r="O31" i="55"/>
  <c r="L32" i="55"/>
  <c r="P33" i="55"/>
  <c r="M34" i="55"/>
  <c r="I35" i="55"/>
  <c r="Q35" i="55"/>
  <c r="N36" i="55"/>
  <c r="J37" i="55"/>
  <c r="R37" i="55"/>
  <c r="O38" i="55"/>
  <c r="K39" i="55"/>
  <c r="S39" i="55"/>
  <c r="P40" i="55"/>
  <c r="O13" i="57"/>
  <c r="L14" i="57"/>
  <c r="I15" i="57"/>
  <c r="Q15" i="57"/>
  <c r="N16" i="57"/>
  <c r="K17" i="57"/>
  <c r="S17" i="57"/>
  <c r="P18" i="57"/>
  <c r="M19" i="57"/>
  <c r="J20" i="57"/>
  <c r="R20" i="57"/>
  <c r="O21" i="57"/>
  <c r="L22" i="57"/>
  <c r="P25" i="57"/>
  <c r="M26" i="57"/>
  <c r="I27" i="57"/>
  <c r="Q27" i="57"/>
  <c r="N28" i="57"/>
  <c r="J29" i="57"/>
  <c r="R29" i="57"/>
  <c r="O30" i="57"/>
  <c r="K31" i="57"/>
  <c r="S31" i="57"/>
  <c r="P32" i="57"/>
  <c r="M35" i="57"/>
  <c r="J36" i="57"/>
  <c r="R36" i="57"/>
  <c r="O37" i="57"/>
  <c r="L38" i="57"/>
  <c r="I39" i="57"/>
  <c r="Q39" i="57"/>
  <c r="N40" i="57"/>
  <c r="K41" i="57"/>
  <c r="S41" i="57"/>
  <c r="P42" i="57"/>
  <c r="M43" i="57"/>
  <c r="J44" i="57"/>
  <c r="R44" i="57"/>
  <c r="O45" i="57"/>
  <c r="L46" i="57"/>
  <c r="P13" i="59"/>
  <c r="M14" i="59"/>
  <c r="J13" i="61"/>
  <c r="R13" i="61"/>
  <c r="O14" i="61"/>
  <c r="L17" i="61"/>
  <c r="I18" i="61"/>
  <c r="Q18" i="61"/>
  <c r="M19" i="61"/>
  <c r="J20" i="61"/>
  <c r="P21" i="61"/>
  <c r="M22" i="61"/>
  <c r="I23" i="61"/>
  <c r="Q23" i="61"/>
  <c r="N24" i="61"/>
  <c r="J25" i="61"/>
  <c r="R25" i="61"/>
  <c r="O26" i="61"/>
  <c r="K27" i="61"/>
  <c r="S27" i="61"/>
  <c r="P28" i="61"/>
  <c r="L29" i="61"/>
  <c r="J30" i="61"/>
  <c r="N31" i="61"/>
  <c r="S32" i="61"/>
  <c r="L34" i="61"/>
  <c r="Q13" i="63"/>
  <c r="K15" i="63"/>
  <c r="P16" i="63"/>
  <c r="J14" i="65"/>
  <c r="N15" i="65"/>
  <c r="S16" i="65"/>
  <c r="L18" i="65"/>
  <c r="P19" i="65"/>
  <c r="I21" i="65"/>
  <c r="N22" i="65"/>
  <c r="R23" i="65"/>
  <c r="K25" i="65"/>
  <c r="P26" i="65"/>
  <c r="I28" i="65"/>
  <c r="M29" i="65"/>
  <c r="R30" i="65"/>
  <c r="K32" i="65"/>
  <c r="O33" i="65"/>
  <c r="M13" i="67"/>
  <c r="R14" i="67"/>
  <c r="K16" i="67"/>
  <c r="O17" i="67"/>
  <c r="M20" i="67"/>
  <c r="Q21" i="67"/>
  <c r="J23" i="67"/>
  <c r="O24" i="67"/>
  <c r="R26" i="67"/>
  <c r="O29" i="67"/>
  <c r="M32" i="67"/>
  <c r="O13" i="69"/>
  <c r="N16" i="69"/>
  <c r="M19" i="69"/>
  <c r="L22" i="69"/>
  <c r="K25" i="69"/>
  <c r="Q30" i="69"/>
  <c r="S18" i="73"/>
  <c r="Q18" i="73"/>
  <c r="O18" i="73"/>
  <c r="M18" i="73"/>
  <c r="K18" i="73"/>
  <c r="I18" i="73"/>
  <c r="R17" i="73"/>
  <c r="P17" i="73"/>
  <c r="N17" i="73"/>
  <c r="L17" i="73"/>
  <c r="J17" i="73"/>
  <c r="S16" i="73"/>
  <c r="Q16" i="73"/>
  <c r="O16" i="73"/>
  <c r="M16" i="73"/>
  <c r="K16" i="73"/>
  <c r="I16" i="73"/>
  <c r="R15" i="73"/>
  <c r="P15" i="73"/>
  <c r="N15" i="73"/>
  <c r="L15" i="73"/>
  <c r="J15" i="73"/>
  <c r="S14" i="73"/>
  <c r="Q14" i="73"/>
  <c r="O14" i="73"/>
  <c r="M14" i="73"/>
  <c r="K14" i="73"/>
  <c r="I14" i="73"/>
  <c r="R13" i="73"/>
  <c r="P13" i="73"/>
  <c r="P19" i="73" s="1"/>
  <c r="N13" i="73"/>
  <c r="L13" i="73"/>
  <c r="J13" i="73"/>
  <c r="S16" i="71"/>
  <c r="S18" i="71" s="1"/>
  <c r="Q16" i="71"/>
  <c r="Q18" i="71" s="1"/>
  <c r="O16" i="71"/>
  <c r="O18" i="71" s="1"/>
  <c r="M16" i="71"/>
  <c r="M18" i="71" s="1"/>
  <c r="K16" i="71"/>
  <c r="K18" i="71" s="1"/>
  <c r="I16" i="71"/>
  <c r="I18" i="71" s="1"/>
  <c r="R15" i="71"/>
  <c r="R17" i="71" s="1"/>
  <c r="P15" i="71"/>
  <c r="P17" i="71" s="1"/>
  <c r="N15" i="71"/>
  <c r="N17" i="71" s="1"/>
  <c r="L15" i="71"/>
  <c r="L17" i="71" s="1"/>
  <c r="J15" i="71"/>
  <c r="J17" i="71" s="1"/>
  <c r="R32" i="69"/>
  <c r="P32" i="69"/>
  <c r="N32" i="69"/>
  <c r="L32" i="69"/>
  <c r="J32" i="69"/>
  <c r="S31" i="69"/>
  <c r="Q31" i="69"/>
  <c r="O31" i="69"/>
  <c r="M31" i="69"/>
  <c r="K31" i="69"/>
  <c r="I31" i="69"/>
  <c r="R30" i="69"/>
  <c r="P30" i="69"/>
  <c r="N30" i="69"/>
  <c r="L30" i="69"/>
  <c r="J30" i="69"/>
  <c r="S29" i="69"/>
  <c r="Q29" i="69"/>
  <c r="O29" i="69"/>
  <c r="M29" i="69"/>
  <c r="K29" i="69"/>
  <c r="I29" i="69"/>
  <c r="R28" i="69"/>
  <c r="P28" i="69"/>
  <c r="N28" i="69"/>
  <c r="L28" i="69"/>
  <c r="J28" i="69"/>
  <c r="S27" i="69"/>
  <c r="Q27" i="69"/>
  <c r="O27" i="69"/>
  <c r="M27" i="69"/>
  <c r="K27" i="69"/>
  <c r="I27" i="69"/>
  <c r="R26" i="69"/>
  <c r="P26" i="69"/>
  <c r="N26" i="69"/>
  <c r="L26" i="69"/>
  <c r="J26" i="69"/>
  <c r="S25" i="69"/>
  <c r="Q25" i="69"/>
  <c r="O25" i="69"/>
  <c r="R18" i="73"/>
  <c r="N18" i="73"/>
  <c r="J18" i="73"/>
  <c r="Q17" i="73"/>
  <c r="M17" i="73"/>
  <c r="I17" i="73"/>
  <c r="P16" i="73"/>
  <c r="L16" i="73"/>
  <c r="S15" i="73"/>
  <c r="O15" i="73"/>
  <c r="K15" i="73"/>
  <c r="R14" i="73"/>
  <c r="N14" i="73"/>
  <c r="J14" i="73"/>
  <c r="Q13" i="73"/>
  <c r="M13" i="73"/>
  <c r="I13" i="73"/>
  <c r="P16" i="71"/>
  <c r="P18" i="71" s="1"/>
  <c r="L16" i="71"/>
  <c r="L18" i="71" s="1"/>
  <c r="S15" i="71"/>
  <c r="S17" i="71" s="1"/>
  <c r="O15" i="71"/>
  <c r="O17" i="71" s="1"/>
  <c r="K15" i="71"/>
  <c r="K17" i="71" s="1"/>
  <c r="Q32" i="69"/>
  <c r="M32" i="69"/>
  <c r="I32" i="69"/>
  <c r="P31" i="69"/>
  <c r="L31" i="69"/>
  <c r="S30" i="69"/>
  <c r="O30" i="69"/>
  <c r="K30" i="69"/>
  <c r="R29" i="69"/>
  <c r="N29" i="69"/>
  <c r="J29" i="69"/>
  <c r="Q28" i="69"/>
  <c r="M28" i="69"/>
  <c r="I28" i="69"/>
  <c r="P27" i="69"/>
  <c r="L27" i="69"/>
  <c r="S26" i="69"/>
  <c r="O26" i="69"/>
  <c r="K26" i="69"/>
  <c r="R25" i="69"/>
  <c r="N25" i="69"/>
  <c r="L25" i="69"/>
  <c r="J25" i="69"/>
  <c r="S24" i="69"/>
  <c r="Q24" i="69"/>
  <c r="O24" i="69"/>
  <c r="M24" i="69"/>
  <c r="K24" i="69"/>
  <c r="I24" i="69"/>
  <c r="R23" i="69"/>
  <c r="P23" i="69"/>
  <c r="N23" i="69"/>
  <c r="L23" i="69"/>
  <c r="J23" i="69"/>
  <c r="S22" i="69"/>
  <c r="Q22" i="69"/>
  <c r="O22" i="69"/>
  <c r="M22" i="69"/>
  <c r="K22" i="69"/>
  <c r="I22" i="69"/>
  <c r="R21" i="69"/>
  <c r="P21" i="69"/>
  <c r="N21" i="69"/>
  <c r="L21" i="69"/>
  <c r="J21" i="69"/>
  <c r="S20" i="69"/>
  <c r="Q20" i="69"/>
  <c r="O20" i="69"/>
  <c r="M20" i="69"/>
  <c r="K20" i="69"/>
  <c r="I20" i="69"/>
  <c r="R19" i="69"/>
  <c r="P19" i="69"/>
  <c r="N19" i="69"/>
  <c r="L19" i="69"/>
  <c r="J19" i="69"/>
  <c r="S18" i="69"/>
  <c r="Q18" i="69"/>
  <c r="O18" i="69"/>
  <c r="M18" i="69"/>
  <c r="K18" i="69"/>
  <c r="I18" i="69"/>
  <c r="R17" i="69"/>
  <c r="P17" i="69"/>
  <c r="N17" i="69"/>
  <c r="L17" i="69"/>
  <c r="J17" i="69"/>
  <c r="S16" i="69"/>
  <c r="Q16" i="69"/>
  <c r="O16" i="69"/>
  <c r="M16" i="69"/>
  <c r="K16" i="69"/>
  <c r="I16" i="69"/>
  <c r="R15" i="69"/>
  <c r="P15" i="69"/>
  <c r="N15" i="69"/>
  <c r="L15" i="69"/>
  <c r="J15" i="69"/>
  <c r="S14" i="69"/>
  <c r="Q14" i="69"/>
  <c r="O14" i="69"/>
  <c r="M14" i="69"/>
  <c r="K14" i="69"/>
  <c r="I14" i="69"/>
  <c r="R13" i="69"/>
  <c r="P13" i="69"/>
  <c r="N13" i="69"/>
  <c r="L13" i="69"/>
  <c r="J13" i="69"/>
  <c r="S34" i="67"/>
  <c r="Q34" i="67"/>
  <c r="O34" i="67"/>
  <c r="M34" i="67"/>
  <c r="K34" i="67"/>
  <c r="I34" i="67"/>
  <c r="R33" i="67"/>
  <c r="P33" i="67"/>
  <c r="N33" i="67"/>
  <c r="L33" i="67"/>
  <c r="J33" i="67"/>
  <c r="R32" i="67"/>
  <c r="P32" i="67"/>
  <c r="N32" i="67"/>
  <c r="L32" i="67"/>
  <c r="J32" i="67"/>
  <c r="S31" i="67"/>
  <c r="Q31" i="67"/>
  <c r="O31" i="67"/>
  <c r="M31" i="67"/>
  <c r="K31" i="67"/>
  <c r="I31" i="67"/>
  <c r="S30" i="67"/>
  <c r="Q30" i="67"/>
  <c r="O30" i="67"/>
  <c r="M30" i="67"/>
  <c r="K30" i="67"/>
  <c r="I30" i="67"/>
  <c r="R29" i="67"/>
  <c r="P29" i="67"/>
  <c r="N29" i="67"/>
  <c r="L29" i="67"/>
  <c r="J29" i="67"/>
  <c r="R28" i="67"/>
  <c r="P28" i="67"/>
  <c r="N28" i="67"/>
  <c r="L28" i="67"/>
  <c r="J28" i="67"/>
  <c r="S27" i="67"/>
  <c r="Q27" i="67"/>
  <c r="O27" i="67"/>
  <c r="M27" i="67"/>
  <c r="K27" i="67"/>
  <c r="I27" i="67"/>
  <c r="S26" i="67"/>
  <c r="Q26" i="67"/>
  <c r="O26" i="67"/>
  <c r="M26" i="67"/>
  <c r="K26" i="67"/>
  <c r="I26" i="67"/>
  <c r="R25" i="67"/>
  <c r="P25" i="67"/>
  <c r="N25" i="67"/>
  <c r="L25" i="67"/>
  <c r="J25" i="67"/>
  <c r="P18" i="73"/>
  <c r="S17" i="73"/>
  <c r="K17" i="73"/>
  <c r="N16" i="73"/>
  <c r="Q15" i="73"/>
  <c r="I15" i="73"/>
  <c r="L14" i="73"/>
  <c r="O13" i="73"/>
  <c r="R16" i="71"/>
  <c r="R18" i="71" s="1"/>
  <c r="J16" i="71"/>
  <c r="J18" i="71" s="1"/>
  <c r="M15" i="71"/>
  <c r="M17" i="71" s="1"/>
  <c r="O32" i="69"/>
  <c r="R31" i="69"/>
  <c r="J31" i="69"/>
  <c r="M30" i="69"/>
  <c r="P29" i="69"/>
  <c r="S28" i="69"/>
  <c r="K28" i="69"/>
  <c r="N27" i="69"/>
  <c r="Q26" i="69"/>
  <c r="I26" i="69"/>
  <c r="M25" i="69"/>
  <c r="I25" i="69"/>
  <c r="P24" i="69"/>
  <c r="L24" i="69"/>
  <c r="S23" i="69"/>
  <c r="O23" i="69"/>
  <c r="K23" i="69"/>
  <c r="R22" i="69"/>
  <c r="N22" i="69"/>
  <c r="J22" i="69"/>
  <c r="Q21" i="69"/>
  <c r="M21" i="69"/>
  <c r="I21" i="69"/>
  <c r="P20" i="69"/>
  <c r="L20" i="69"/>
  <c r="S19" i="69"/>
  <c r="O19" i="69"/>
  <c r="K19" i="69"/>
  <c r="R18" i="69"/>
  <c r="N18" i="69"/>
  <c r="J18" i="69"/>
  <c r="Q17" i="69"/>
  <c r="M17" i="69"/>
  <c r="I17" i="69"/>
  <c r="P16" i="69"/>
  <c r="L16" i="69"/>
  <c r="S15" i="69"/>
  <c r="O15" i="69"/>
  <c r="K15" i="69"/>
  <c r="R14" i="69"/>
  <c r="N14" i="69"/>
  <c r="J14" i="69"/>
  <c r="Q13" i="69"/>
  <c r="M13" i="69"/>
  <c r="I13" i="69"/>
  <c r="P34" i="67"/>
  <c r="L34" i="67"/>
  <c r="S33" i="67"/>
  <c r="O33" i="67"/>
  <c r="K33" i="67"/>
  <c r="S32" i="67"/>
  <c r="O32" i="67"/>
  <c r="K32" i="67"/>
  <c r="R31" i="67"/>
  <c r="N31" i="67"/>
  <c r="J31" i="67"/>
  <c r="R30" i="67"/>
  <c r="N30" i="67"/>
  <c r="J30" i="67"/>
  <c r="Q29" i="67"/>
  <c r="M29" i="67"/>
  <c r="I29" i="67"/>
  <c r="Q28" i="67"/>
  <c r="M28" i="67"/>
  <c r="I28" i="67"/>
  <c r="P27" i="67"/>
  <c r="L27" i="67"/>
  <c r="P26" i="67"/>
  <c r="L26" i="67"/>
  <c r="S25" i="67"/>
  <c r="O25" i="67"/>
  <c r="K25" i="67"/>
  <c r="R24" i="67"/>
  <c r="P24" i="67"/>
  <c r="N24" i="67"/>
  <c r="L24" i="67"/>
  <c r="J24" i="67"/>
  <c r="S23" i="67"/>
  <c r="Q23" i="67"/>
  <c r="O23" i="67"/>
  <c r="M23" i="67"/>
  <c r="K23" i="67"/>
  <c r="I23" i="67"/>
  <c r="S22" i="67"/>
  <c r="Q22" i="67"/>
  <c r="O22" i="67"/>
  <c r="M22" i="67"/>
  <c r="K22" i="67"/>
  <c r="I22" i="67"/>
  <c r="R21" i="67"/>
  <c r="P21" i="67"/>
  <c r="N21" i="67"/>
  <c r="L21" i="67"/>
  <c r="J21" i="67"/>
  <c r="R20" i="67"/>
  <c r="P20" i="67"/>
  <c r="N20" i="67"/>
  <c r="L20" i="67"/>
  <c r="J20" i="67"/>
  <c r="S19" i="67"/>
  <c r="Q19" i="67"/>
  <c r="O19" i="67"/>
  <c r="M19" i="67"/>
  <c r="K19" i="67"/>
  <c r="I19" i="67"/>
  <c r="S18" i="67"/>
  <c r="Q18" i="67"/>
  <c r="O18" i="67"/>
  <c r="M18" i="67"/>
  <c r="K18" i="67"/>
  <c r="I18" i="67"/>
  <c r="R17" i="67"/>
  <c r="P17" i="67"/>
  <c r="N17" i="67"/>
  <c r="L17" i="67"/>
  <c r="J17" i="67"/>
  <c r="R16" i="67"/>
  <c r="P16" i="67"/>
  <c r="N16" i="67"/>
  <c r="L16" i="67"/>
  <c r="J16" i="67"/>
  <c r="S15" i="67"/>
  <c r="Q15" i="67"/>
  <c r="O15" i="67"/>
  <c r="M15" i="67"/>
  <c r="K15" i="67"/>
  <c r="I15" i="67"/>
  <c r="S14" i="67"/>
  <c r="Q14" i="67"/>
  <c r="O14" i="67"/>
  <c r="M14" i="67"/>
  <c r="K14" i="67"/>
  <c r="I14" i="67"/>
  <c r="R13" i="67"/>
  <c r="P13" i="67"/>
  <c r="N13" i="67"/>
  <c r="L13" i="67"/>
  <c r="J13" i="67"/>
  <c r="S34" i="65"/>
  <c r="Q34" i="65"/>
  <c r="O34" i="65"/>
  <c r="M34" i="65"/>
  <c r="K34" i="65"/>
  <c r="I34" i="65"/>
  <c r="R33" i="65"/>
  <c r="P33" i="65"/>
  <c r="N33" i="65"/>
  <c r="L33" i="65"/>
  <c r="J33" i="65"/>
  <c r="R32" i="65"/>
  <c r="P32" i="65"/>
  <c r="N32" i="65"/>
  <c r="L32" i="65"/>
  <c r="J32" i="65"/>
  <c r="S31" i="65"/>
  <c r="Q31" i="65"/>
  <c r="O31" i="65"/>
  <c r="M31" i="65"/>
  <c r="K31" i="65"/>
  <c r="I31" i="65"/>
  <c r="S30" i="65"/>
  <c r="Q30" i="65"/>
  <c r="O30" i="65"/>
  <c r="M30" i="65"/>
  <c r="K30" i="65"/>
  <c r="I30" i="65"/>
  <c r="R29" i="65"/>
  <c r="P29" i="65"/>
  <c r="N29" i="65"/>
  <c r="L29" i="65"/>
  <c r="J29" i="65"/>
  <c r="R28" i="65"/>
  <c r="P28" i="65"/>
  <c r="N28" i="65"/>
  <c r="L28" i="65"/>
  <c r="J28" i="65"/>
  <c r="S27" i="65"/>
  <c r="Q27" i="65"/>
  <c r="O27" i="65"/>
  <c r="M27" i="65"/>
  <c r="K27" i="65"/>
  <c r="I27" i="65"/>
  <c r="S26" i="65"/>
  <c r="Q26" i="65"/>
  <c r="O26" i="65"/>
  <c r="M26" i="65"/>
  <c r="K26" i="65"/>
  <c r="I26" i="65"/>
  <c r="R25" i="65"/>
  <c r="P25" i="65"/>
  <c r="N25" i="65"/>
  <c r="L25" i="65"/>
  <c r="J25" i="65"/>
  <c r="R24" i="65"/>
  <c r="P24" i="65"/>
  <c r="N24" i="65"/>
  <c r="L24" i="65"/>
  <c r="J24" i="65"/>
  <c r="S23" i="65"/>
  <c r="Q23" i="65"/>
  <c r="O23" i="65"/>
  <c r="M23" i="65"/>
  <c r="K23" i="65"/>
  <c r="I23" i="65"/>
  <c r="S22" i="65"/>
  <c r="Q22" i="65"/>
  <c r="O22" i="65"/>
  <c r="M22" i="65"/>
  <c r="K22" i="65"/>
  <c r="I22" i="65"/>
  <c r="R21" i="65"/>
  <c r="P21" i="65"/>
  <c r="N21" i="65"/>
  <c r="L21" i="65"/>
  <c r="J21" i="65"/>
  <c r="R20" i="65"/>
  <c r="P20" i="65"/>
  <c r="N20" i="65"/>
  <c r="L20" i="65"/>
  <c r="J20" i="65"/>
  <c r="S19" i="65"/>
  <c r="Q19" i="65"/>
  <c r="O19" i="65"/>
  <c r="M19" i="65"/>
  <c r="K19" i="65"/>
  <c r="I19" i="65"/>
  <c r="S18" i="65"/>
  <c r="Q18" i="65"/>
  <c r="O18" i="65"/>
  <c r="M18" i="65"/>
  <c r="K18" i="65"/>
  <c r="I18" i="65"/>
  <c r="R17" i="65"/>
  <c r="P17" i="65"/>
  <c r="N17" i="65"/>
  <c r="L17" i="65"/>
  <c r="J17" i="65"/>
  <c r="R16" i="65"/>
  <c r="P16" i="65"/>
  <c r="N16" i="65"/>
  <c r="L16" i="65"/>
  <c r="J16" i="65"/>
  <c r="S15" i="65"/>
  <c r="Q15" i="65"/>
  <c r="O15" i="65"/>
  <c r="M15" i="65"/>
  <c r="K15" i="65"/>
  <c r="I15" i="65"/>
  <c r="S14" i="65"/>
  <c r="Q14" i="65"/>
  <c r="O14" i="65"/>
  <c r="M14" i="65"/>
  <c r="K14" i="65"/>
  <c r="I14" i="65"/>
  <c r="R13" i="65"/>
  <c r="P13" i="65"/>
  <c r="N13" i="65"/>
  <c r="L13" i="65"/>
  <c r="J13" i="65"/>
  <c r="S16" i="63"/>
  <c r="Q16" i="63"/>
  <c r="O16" i="63"/>
  <c r="M16" i="63"/>
  <c r="K16" i="63"/>
  <c r="I16" i="63"/>
  <c r="R15" i="63"/>
  <c r="P15" i="63"/>
  <c r="N15" i="63"/>
  <c r="L15" i="63"/>
  <c r="J15" i="63"/>
  <c r="S14" i="63"/>
  <c r="Q14" i="63"/>
  <c r="O14" i="63"/>
  <c r="M14" i="63"/>
  <c r="K14" i="63"/>
  <c r="I14" i="63"/>
  <c r="R13" i="63"/>
  <c r="P13" i="63"/>
  <c r="N13" i="63"/>
  <c r="L13" i="63"/>
  <c r="J13" i="63"/>
  <c r="S34" i="61"/>
  <c r="Q34" i="61"/>
  <c r="O34" i="61"/>
  <c r="M34" i="61"/>
  <c r="K34" i="61"/>
  <c r="I34" i="61"/>
  <c r="R33" i="61"/>
  <c r="P33" i="61"/>
  <c r="N33" i="61"/>
  <c r="L33" i="61"/>
  <c r="J33" i="61"/>
  <c r="R32" i="61"/>
  <c r="P32" i="61"/>
  <c r="N32" i="61"/>
  <c r="L32" i="61"/>
  <c r="J32" i="61"/>
  <c r="S31" i="61"/>
  <c r="Q31" i="61"/>
  <c r="O31" i="61"/>
  <c r="M31" i="61"/>
  <c r="K31" i="61"/>
  <c r="I31" i="61"/>
  <c r="S30" i="61"/>
  <c r="Q30" i="61"/>
  <c r="O30" i="61"/>
  <c r="M30" i="61"/>
  <c r="K30" i="61"/>
  <c r="I30" i="61"/>
  <c r="L18" i="73"/>
  <c r="R16" i="73"/>
  <c r="M15" i="73"/>
  <c r="S13" i="73"/>
  <c r="S19" i="73" s="1"/>
  <c r="N16" i="71"/>
  <c r="N18" i="71" s="1"/>
  <c r="I15" i="71"/>
  <c r="I17" i="71" s="1"/>
  <c r="S32" i="69"/>
  <c r="N31" i="69"/>
  <c r="I30" i="69"/>
  <c r="O28" i="69"/>
  <c r="J27" i="69"/>
  <c r="P25" i="69"/>
  <c r="R24" i="69"/>
  <c r="J24" i="69"/>
  <c r="M23" i="69"/>
  <c r="P22" i="69"/>
  <c r="S21" i="69"/>
  <c r="K21" i="69"/>
  <c r="N20" i="69"/>
  <c r="Q19" i="69"/>
  <c r="I19" i="69"/>
  <c r="L18" i="69"/>
  <c r="O17" i="69"/>
  <c r="R16" i="69"/>
  <c r="J16" i="69"/>
  <c r="M15" i="69"/>
  <c r="P14" i="69"/>
  <c r="S13" i="69"/>
  <c r="K13" i="69"/>
  <c r="R34" i="67"/>
  <c r="J34" i="67"/>
  <c r="M33" i="67"/>
  <c r="Q32" i="67"/>
  <c r="I32" i="67"/>
  <c r="L31" i="67"/>
  <c r="P30" i="67"/>
  <c r="S29" i="67"/>
  <c r="K29" i="67"/>
  <c r="O28" i="67"/>
  <c r="R27" i="67"/>
  <c r="J27" i="67"/>
  <c r="N26" i="67"/>
  <c r="Q25" i="67"/>
  <c r="I25" i="67"/>
  <c r="Q24" i="67"/>
  <c r="M24" i="67"/>
  <c r="I24" i="67"/>
  <c r="P23" i="67"/>
  <c r="L23" i="67"/>
  <c r="P22" i="67"/>
  <c r="L22" i="67"/>
  <c r="S21" i="67"/>
  <c r="O21" i="67"/>
  <c r="K21" i="67"/>
  <c r="S20" i="67"/>
  <c r="O20" i="67"/>
  <c r="K20" i="67"/>
  <c r="R19" i="67"/>
  <c r="N19" i="67"/>
  <c r="J19" i="67"/>
  <c r="R18" i="67"/>
  <c r="N18" i="67"/>
  <c r="J18" i="67"/>
  <c r="Q17" i="67"/>
  <c r="M17" i="67"/>
  <c r="I17" i="67"/>
  <c r="Q16" i="67"/>
  <c r="M16" i="67"/>
  <c r="M36" i="67" s="1"/>
  <c r="I16" i="67"/>
  <c r="P15" i="67"/>
  <c r="L15" i="67"/>
  <c r="P14" i="67"/>
  <c r="L14" i="67"/>
  <c r="S13" i="67"/>
  <c r="O13" i="67"/>
  <c r="K13" i="67"/>
  <c r="R34" i="65"/>
  <c r="N34" i="65"/>
  <c r="J34" i="65"/>
  <c r="Q33" i="65"/>
  <c r="M33" i="65"/>
  <c r="I33" i="65"/>
  <c r="Q32" i="65"/>
  <c r="M32" i="65"/>
  <c r="I32" i="65"/>
  <c r="P31" i="65"/>
  <c r="L31" i="65"/>
  <c r="P30" i="65"/>
  <c r="L30" i="65"/>
  <c r="S29" i="65"/>
  <c r="O29" i="65"/>
  <c r="K29" i="65"/>
  <c r="S28" i="65"/>
  <c r="O28" i="65"/>
  <c r="K28" i="65"/>
  <c r="R27" i="65"/>
  <c r="N27" i="65"/>
  <c r="J27" i="65"/>
  <c r="R26" i="65"/>
  <c r="N26" i="65"/>
  <c r="J26" i="65"/>
  <c r="Q25" i="65"/>
  <c r="M25" i="65"/>
  <c r="I25" i="65"/>
  <c r="Q24" i="65"/>
  <c r="M24" i="65"/>
  <c r="I24" i="65"/>
  <c r="P23" i="65"/>
  <c r="L23" i="65"/>
  <c r="P22" i="65"/>
  <c r="L22" i="65"/>
  <c r="S21" i="65"/>
  <c r="O21" i="65"/>
  <c r="K21" i="65"/>
  <c r="S20" i="65"/>
  <c r="O20" i="65"/>
  <c r="K20" i="65"/>
  <c r="R19" i="65"/>
  <c r="N19" i="65"/>
  <c r="J19" i="65"/>
  <c r="R18" i="65"/>
  <c r="N18" i="65"/>
  <c r="J18" i="65"/>
  <c r="Q17" i="65"/>
  <c r="M17" i="65"/>
  <c r="I17" i="65"/>
  <c r="Q16" i="65"/>
  <c r="M16" i="65"/>
  <c r="I16" i="65"/>
  <c r="P15" i="65"/>
  <c r="L15" i="65"/>
  <c r="P14" i="65"/>
  <c r="L14" i="65"/>
  <c r="S13" i="65"/>
  <c r="O13" i="65"/>
  <c r="K13" i="65"/>
  <c r="R16" i="63"/>
  <c r="N16" i="63"/>
  <c r="J16" i="63"/>
  <c r="Q15" i="63"/>
  <c r="M15" i="63"/>
  <c r="I15" i="63"/>
  <c r="P14" i="63"/>
  <c r="L14" i="63"/>
  <c r="S13" i="63"/>
  <c r="O13" i="63"/>
  <c r="K13" i="63"/>
  <c r="R34" i="61"/>
  <c r="N34" i="61"/>
  <c r="J34" i="61"/>
  <c r="Q33" i="61"/>
  <c r="M33" i="61"/>
  <c r="I33" i="61"/>
  <c r="Q32" i="61"/>
  <c r="M32" i="61"/>
  <c r="I32" i="61"/>
  <c r="P31" i="61"/>
  <c r="L31" i="61"/>
  <c r="P30" i="61"/>
  <c r="L30" i="61"/>
  <c r="S29" i="61"/>
  <c r="Q29" i="61"/>
  <c r="O29" i="61"/>
  <c r="M29" i="61"/>
  <c r="K29" i="61"/>
  <c r="I29" i="61"/>
  <c r="S28" i="61"/>
  <c r="Q28" i="61"/>
  <c r="O28" i="61"/>
  <c r="M28" i="61"/>
  <c r="K28" i="61"/>
  <c r="I28" i="61"/>
  <c r="R27" i="61"/>
  <c r="P27" i="61"/>
  <c r="N27" i="61"/>
  <c r="L27" i="61"/>
  <c r="J27" i="61"/>
  <c r="R26" i="61"/>
  <c r="P26" i="61"/>
  <c r="N26" i="61"/>
  <c r="L26" i="61"/>
  <c r="J26" i="61"/>
  <c r="S25" i="61"/>
  <c r="Q25" i="61"/>
  <c r="O25" i="61"/>
  <c r="M25" i="61"/>
  <c r="K25" i="61"/>
  <c r="I25" i="61"/>
  <c r="S24" i="61"/>
  <c r="Q24" i="61"/>
  <c r="O24" i="61"/>
  <c r="M24" i="61"/>
  <c r="K24" i="61"/>
  <c r="I24" i="61"/>
  <c r="R23" i="61"/>
  <c r="P23" i="61"/>
  <c r="N23" i="61"/>
  <c r="L23" i="61"/>
  <c r="J23" i="61"/>
  <c r="R22" i="61"/>
  <c r="P22" i="61"/>
  <c r="N22" i="61"/>
  <c r="L22" i="61"/>
  <c r="J22" i="61"/>
  <c r="S21" i="61"/>
  <c r="Q21" i="61"/>
  <c r="O21" i="61"/>
  <c r="M21" i="61"/>
  <c r="K21" i="61"/>
  <c r="I21" i="61"/>
  <c r="S20" i="61"/>
  <c r="P20" i="61"/>
  <c r="N20" i="61"/>
  <c r="L20" i="61"/>
  <c r="I20" i="61"/>
  <c r="R19" i="61"/>
  <c r="P19" i="61"/>
  <c r="N19" i="61"/>
  <c r="L19" i="61"/>
  <c r="J19" i="61"/>
  <c r="R18" i="61"/>
  <c r="P18" i="61"/>
  <c r="N18" i="61"/>
  <c r="L18" i="61"/>
  <c r="J18" i="61"/>
  <c r="S17" i="61"/>
  <c r="Q17" i="61"/>
  <c r="O17" i="61"/>
  <c r="M17" i="61"/>
  <c r="K17" i="61"/>
  <c r="I17" i="61"/>
  <c r="R14" i="61"/>
  <c r="P14" i="61"/>
  <c r="N14" i="61"/>
  <c r="L14" i="61"/>
  <c r="J14" i="61"/>
  <c r="S13" i="61"/>
  <c r="Q13" i="61"/>
  <c r="O13" i="61"/>
  <c r="M13" i="61"/>
  <c r="K13" i="61"/>
  <c r="I13" i="61"/>
  <c r="R14" i="59"/>
  <c r="P14" i="59"/>
  <c r="N14" i="59"/>
  <c r="L14" i="59"/>
  <c r="J14" i="59"/>
  <c r="S13" i="59"/>
  <c r="Q13" i="59"/>
  <c r="O13" i="59"/>
  <c r="M13" i="59"/>
  <c r="K13" i="59"/>
  <c r="I13" i="59"/>
  <c r="S46" i="57"/>
  <c r="Q46" i="57"/>
  <c r="O46" i="57"/>
  <c r="M46" i="57"/>
  <c r="K46" i="57"/>
  <c r="I46" i="57"/>
  <c r="R45" i="57"/>
  <c r="P45" i="57"/>
  <c r="N45" i="57"/>
  <c r="L45" i="57"/>
  <c r="J45" i="57"/>
  <c r="S44" i="57"/>
  <c r="Q44" i="57"/>
  <c r="O44" i="57"/>
  <c r="M44" i="57"/>
  <c r="K44" i="57"/>
  <c r="I44" i="57"/>
  <c r="R43" i="57"/>
  <c r="P43" i="57"/>
  <c r="N43" i="57"/>
  <c r="L43" i="57"/>
  <c r="J43" i="57"/>
  <c r="S42" i="57"/>
  <c r="Q42" i="57"/>
  <c r="O42" i="57"/>
  <c r="M42" i="57"/>
  <c r="K42" i="57"/>
  <c r="I42" i="57"/>
  <c r="R41" i="57"/>
  <c r="P41" i="57"/>
  <c r="N41" i="57"/>
  <c r="L41" i="57"/>
  <c r="J41" i="57"/>
  <c r="S40" i="57"/>
  <c r="Q40" i="57"/>
  <c r="O40" i="57"/>
  <c r="M40" i="57"/>
  <c r="K40" i="57"/>
  <c r="I40" i="57"/>
  <c r="R39" i="57"/>
  <c r="P39" i="57"/>
  <c r="N39" i="57"/>
  <c r="L39" i="57"/>
  <c r="J39" i="57"/>
  <c r="S38" i="57"/>
  <c r="Q38" i="57"/>
  <c r="O38" i="57"/>
  <c r="M38" i="57"/>
  <c r="K38" i="57"/>
  <c r="I38" i="57"/>
  <c r="R37" i="57"/>
  <c r="P37" i="57"/>
  <c r="N37" i="57"/>
  <c r="L37" i="57"/>
  <c r="J37" i="57"/>
  <c r="S36" i="57"/>
  <c r="Q36" i="57"/>
  <c r="O36" i="57"/>
  <c r="M36" i="57"/>
  <c r="K36" i="57"/>
  <c r="I36" i="57"/>
  <c r="R35" i="57"/>
  <c r="P35" i="57"/>
  <c r="N35" i="57"/>
  <c r="L35" i="57"/>
  <c r="J35" i="57"/>
  <c r="S32" i="57"/>
  <c r="Q32" i="57"/>
  <c r="O32" i="57"/>
  <c r="M32" i="57"/>
  <c r="K32" i="57"/>
  <c r="I32" i="57"/>
  <c r="R31" i="57"/>
  <c r="P31" i="57"/>
  <c r="N31" i="57"/>
  <c r="L31" i="57"/>
  <c r="J31" i="57"/>
  <c r="R30" i="57"/>
  <c r="P30" i="57"/>
  <c r="N30" i="57"/>
  <c r="L30" i="57"/>
  <c r="J30" i="57"/>
  <c r="S29" i="57"/>
  <c r="Q29" i="57"/>
  <c r="O29" i="57"/>
  <c r="M29" i="57"/>
  <c r="K29" i="57"/>
  <c r="I29" i="57"/>
  <c r="S28" i="57"/>
  <c r="Q28" i="57"/>
  <c r="O28" i="57"/>
  <c r="M28" i="57"/>
  <c r="K28" i="57"/>
  <c r="I28" i="57"/>
  <c r="R27" i="57"/>
  <c r="P27" i="57"/>
  <c r="N27" i="57"/>
  <c r="L27" i="57"/>
  <c r="J27" i="57"/>
  <c r="R26" i="57"/>
  <c r="P26" i="57"/>
  <c r="N26" i="57"/>
  <c r="L26" i="57"/>
  <c r="J26" i="57"/>
  <c r="S25" i="57"/>
  <c r="Q25" i="57"/>
  <c r="O25" i="57"/>
  <c r="M25" i="57"/>
  <c r="K25" i="57"/>
  <c r="I25" i="57"/>
  <c r="S22" i="57"/>
  <c r="Q22" i="57"/>
  <c r="O22" i="57"/>
  <c r="M22" i="57"/>
  <c r="K22" i="57"/>
  <c r="I22" i="57"/>
  <c r="R21" i="57"/>
  <c r="P21" i="57"/>
  <c r="N21" i="57"/>
  <c r="L21" i="57"/>
  <c r="J21" i="57"/>
  <c r="S20" i="57"/>
  <c r="Q20" i="57"/>
  <c r="O20" i="57"/>
  <c r="M20" i="57"/>
  <c r="K20" i="57"/>
  <c r="I20" i="57"/>
  <c r="R19" i="57"/>
  <c r="P19" i="57"/>
  <c r="N19" i="57"/>
  <c r="L19" i="57"/>
  <c r="J19" i="57"/>
  <c r="S18" i="57"/>
  <c r="Q18" i="57"/>
  <c r="O18" i="57"/>
  <c r="M18" i="57"/>
  <c r="K18" i="57"/>
  <c r="I18" i="57"/>
  <c r="R17" i="57"/>
  <c r="P17" i="57"/>
  <c r="N17" i="57"/>
  <c r="L17" i="57"/>
  <c r="J17" i="57"/>
  <c r="S16" i="57"/>
  <c r="Q16" i="57"/>
  <c r="O16" i="57"/>
  <c r="M16" i="57"/>
  <c r="K16" i="57"/>
  <c r="I16" i="57"/>
  <c r="R15" i="57"/>
  <c r="P15" i="57"/>
  <c r="N15" i="57"/>
  <c r="L15" i="57"/>
  <c r="J15" i="57"/>
  <c r="S14" i="57"/>
  <c r="Q14" i="57"/>
  <c r="O14" i="57"/>
  <c r="M14" i="57"/>
  <c r="K14" i="57"/>
  <c r="I14" i="57"/>
  <c r="R13" i="57"/>
  <c r="P13" i="57"/>
  <c r="N13" i="57"/>
  <c r="L13" i="57"/>
  <c r="J13" i="57"/>
  <c r="S40" i="55"/>
  <c r="Q40" i="55"/>
  <c r="O40" i="55"/>
  <c r="M40" i="55"/>
  <c r="K40" i="55"/>
  <c r="I40" i="55"/>
  <c r="R39" i="55"/>
  <c r="P39" i="55"/>
  <c r="N39" i="55"/>
  <c r="L39" i="55"/>
  <c r="J39" i="55"/>
  <c r="R38" i="55"/>
  <c r="P38" i="55"/>
  <c r="N38" i="55"/>
  <c r="L38" i="55"/>
  <c r="J38" i="55"/>
  <c r="S37" i="55"/>
  <c r="Q37" i="55"/>
  <c r="O37" i="55"/>
  <c r="M37" i="55"/>
  <c r="K37" i="55"/>
  <c r="I37" i="55"/>
  <c r="S36" i="55"/>
  <c r="Q36" i="55"/>
  <c r="O36" i="55"/>
  <c r="M36" i="55"/>
  <c r="K36" i="55"/>
  <c r="I36" i="55"/>
  <c r="R35" i="55"/>
  <c r="P35" i="55"/>
  <c r="N35" i="55"/>
  <c r="L35" i="55"/>
  <c r="J35" i="55"/>
  <c r="R34" i="55"/>
  <c r="P34" i="55"/>
  <c r="N34" i="55"/>
  <c r="L34" i="55"/>
  <c r="J34" i="55"/>
  <c r="S33" i="55"/>
  <c r="Q33" i="55"/>
  <c r="O33" i="55"/>
  <c r="M33" i="55"/>
  <c r="K33" i="55"/>
  <c r="I33" i="55"/>
  <c r="S32" i="55"/>
  <c r="Q32" i="55"/>
  <c r="O32" i="55"/>
  <c r="M32" i="55"/>
  <c r="K32" i="55"/>
  <c r="I32" i="55"/>
  <c r="R31" i="55"/>
  <c r="P31" i="55"/>
  <c r="N31" i="55"/>
  <c r="L31" i="55"/>
  <c r="J31" i="55"/>
  <c r="R30" i="55"/>
  <c r="P30" i="55"/>
  <c r="N30" i="55"/>
  <c r="L30" i="55"/>
  <c r="J30" i="55"/>
  <c r="S29" i="55"/>
  <c r="Q29" i="55"/>
  <c r="O29" i="55"/>
  <c r="M29" i="55"/>
  <c r="K29" i="55"/>
  <c r="I29" i="55"/>
  <c r="S28" i="55"/>
  <c r="Q28" i="55"/>
  <c r="O28" i="55"/>
  <c r="M28" i="55"/>
  <c r="K28" i="55"/>
  <c r="I28" i="55"/>
  <c r="R27" i="55"/>
  <c r="P27" i="55"/>
  <c r="N27" i="55"/>
  <c r="L27" i="55"/>
  <c r="J27" i="55"/>
  <c r="R26" i="55"/>
  <c r="P26" i="55"/>
  <c r="N26" i="55"/>
  <c r="L26" i="55"/>
  <c r="J26" i="55"/>
  <c r="S25" i="55"/>
  <c r="Q25" i="55"/>
  <c r="O25" i="55"/>
  <c r="M25" i="55"/>
  <c r="K25" i="55"/>
  <c r="I25" i="55"/>
  <c r="S24" i="55"/>
  <c r="Q24" i="55"/>
  <c r="O24" i="55"/>
  <c r="M24" i="55"/>
  <c r="K24" i="55"/>
  <c r="I24" i="55"/>
  <c r="R23" i="55"/>
  <c r="P23" i="55"/>
  <c r="N23" i="55"/>
  <c r="L23" i="55"/>
  <c r="J23" i="55"/>
  <c r="S22" i="55"/>
  <c r="Q22" i="55"/>
  <c r="O22" i="55"/>
  <c r="M22" i="55"/>
  <c r="K22" i="55"/>
  <c r="I22" i="55"/>
  <c r="R21" i="55"/>
  <c r="P21" i="55"/>
  <c r="N21" i="55"/>
  <c r="L21" i="55"/>
  <c r="J21" i="55"/>
  <c r="S18" i="55"/>
  <c r="Q18" i="55"/>
  <c r="O18" i="55"/>
  <c r="M18" i="55"/>
  <c r="K18" i="55"/>
  <c r="I18" i="55"/>
  <c r="R17" i="55"/>
  <c r="P17" i="55"/>
  <c r="N17" i="55"/>
  <c r="L17" i="55"/>
  <c r="J17" i="55"/>
  <c r="R16" i="55"/>
  <c r="P16" i="55"/>
  <c r="N16" i="55"/>
  <c r="L16" i="55"/>
  <c r="J16" i="55"/>
  <c r="S15" i="55"/>
  <c r="Q15" i="55"/>
  <c r="O15" i="55"/>
  <c r="M15" i="55"/>
  <c r="K15" i="55"/>
  <c r="I15" i="55"/>
  <c r="S14" i="55"/>
  <c r="Q14" i="55"/>
  <c r="O14" i="55"/>
  <c r="M14" i="55"/>
  <c r="K14" i="55"/>
  <c r="I14" i="55"/>
  <c r="R13" i="55"/>
  <c r="P13" i="55"/>
  <c r="N13" i="55"/>
  <c r="L13" i="55"/>
  <c r="J13" i="55"/>
  <c r="R24" i="53"/>
  <c r="P24" i="53"/>
  <c r="N24" i="53"/>
  <c r="L24" i="53"/>
  <c r="J24" i="53"/>
  <c r="S23" i="53"/>
  <c r="Q23" i="53"/>
  <c r="O23" i="53"/>
  <c r="M23" i="53"/>
  <c r="K23" i="53"/>
  <c r="I23" i="53"/>
  <c r="S22" i="53"/>
  <c r="Q22" i="53"/>
  <c r="O22" i="53"/>
  <c r="M22" i="53"/>
  <c r="K22" i="53"/>
  <c r="I22" i="53"/>
  <c r="R21" i="53"/>
  <c r="P21" i="53"/>
  <c r="N21" i="53"/>
  <c r="L21" i="53"/>
  <c r="J21" i="53"/>
  <c r="R18" i="53"/>
  <c r="P18" i="53"/>
  <c r="N18" i="53"/>
  <c r="L18" i="53"/>
  <c r="J18" i="53"/>
  <c r="S17" i="53"/>
  <c r="Q17" i="53"/>
  <c r="O17" i="53"/>
  <c r="M17" i="53"/>
  <c r="K17" i="53"/>
  <c r="I17" i="53"/>
  <c r="S16" i="53"/>
  <c r="Q16" i="53"/>
  <c r="O16" i="53"/>
  <c r="M16" i="53"/>
  <c r="K16" i="53"/>
  <c r="I16" i="53"/>
  <c r="R15" i="53"/>
  <c r="P15" i="53"/>
  <c r="N15" i="53"/>
  <c r="L15" i="53"/>
  <c r="J15" i="53"/>
  <c r="R14" i="53"/>
  <c r="P14" i="53"/>
  <c r="N14" i="53"/>
  <c r="L14" i="53"/>
  <c r="J14" i="53"/>
  <c r="S13" i="53"/>
  <c r="Q13" i="53"/>
  <c r="O13" i="53"/>
  <c r="M13" i="53"/>
  <c r="K13" i="53"/>
  <c r="I13" i="53"/>
  <c r="R20" i="51"/>
  <c r="P20" i="51"/>
  <c r="N20" i="51"/>
  <c r="L20" i="51"/>
  <c r="J20" i="51"/>
  <c r="S19" i="51"/>
  <c r="Q19" i="51"/>
  <c r="O19" i="51"/>
  <c r="M19" i="51"/>
  <c r="K19" i="51"/>
  <c r="I19" i="51"/>
  <c r="R18" i="51"/>
  <c r="P18" i="51"/>
  <c r="N18" i="51"/>
  <c r="L18" i="51"/>
  <c r="J18" i="51"/>
  <c r="S17" i="51"/>
  <c r="Q17" i="51"/>
  <c r="O17" i="51"/>
  <c r="M17" i="51"/>
  <c r="K17" i="51"/>
  <c r="I17" i="51"/>
  <c r="R16" i="51"/>
  <c r="O17" i="73"/>
  <c r="P14" i="73"/>
  <c r="P20" i="73" s="1"/>
  <c r="Q15" i="71"/>
  <c r="Q17" i="71" s="1"/>
  <c r="K32" i="69"/>
  <c r="L29" i="69"/>
  <c r="M26" i="69"/>
  <c r="N24" i="69"/>
  <c r="I23" i="69"/>
  <c r="O21" i="69"/>
  <c r="J20" i="69"/>
  <c r="P18" i="69"/>
  <c r="K17" i="69"/>
  <c r="Q15" i="69"/>
  <c r="L14" i="69"/>
  <c r="N34" i="67"/>
  <c r="I33" i="67"/>
  <c r="P31" i="67"/>
  <c r="L30" i="67"/>
  <c r="S28" i="67"/>
  <c r="N27" i="67"/>
  <c r="J26" i="67"/>
  <c r="S24" i="67"/>
  <c r="K24" i="67"/>
  <c r="N23" i="67"/>
  <c r="R22" i="67"/>
  <c r="J22" i="67"/>
  <c r="M21" i="67"/>
  <c r="Q20" i="67"/>
  <c r="I20" i="67"/>
  <c r="L19" i="67"/>
  <c r="P18" i="67"/>
  <c r="S17" i="67"/>
  <c r="K17" i="67"/>
  <c r="O16" i="67"/>
  <c r="R15" i="67"/>
  <c r="J15" i="67"/>
  <c r="N14" i="67"/>
  <c r="Q13" i="67"/>
  <c r="I13" i="67"/>
  <c r="P34" i="65"/>
  <c r="S33" i="65"/>
  <c r="K33" i="65"/>
  <c r="O32" i="65"/>
  <c r="R31" i="65"/>
  <c r="J31" i="65"/>
  <c r="N30" i="65"/>
  <c r="Q29" i="65"/>
  <c r="I29" i="65"/>
  <c r="M28" i="65"/>
  <c r="P27" i="65"/>
  <c r="L26" i="65"/>
  <c r="O25" i="65"/>
  <c r="S24" i="65"/>
  <c r="K24" i="65"/>
  <c r="N23" i="65"/>
  <c r="R22" i="65"/>
  <c r="J22" i="65"/>
  <c r="M21" i="65"/>
  <c r="Q20" i="65"/>
  <c r="I20" i="65"/>
  <c r="L19" i="65"/>
  <c r="P18" i="65"/>
  <c r="S17" i="65"/>
  <c r="K17" i="65"/>
  <c r="O16" i="65"/>
  <c r="R15" i="65"/>
  <c r="J15" i="65"/>
  <c r="N14" i="65"/>
  <c r="Q13" i="65"/>
  <c r="I13" i="65"/>
  <c r="L16" i="63"/>
  <c r="O15" i="63"/>
  <c r="O17" i="63" s="1"/>
  <c r="R14" i="63"/>
  <c r="J14" i="63"/>
  <c r="M13" i="63"/>
  <c r="P34" i="61"/>
  <c r="S33" i="61"/>
  <c r="K33" i="61"/>
  <c r="O32" i="61"/>
  <c r="R31" i="61"/>
  <c r="J31" i="61"/>
  <c r="N30" i="61"/>
  <c r="R29" i="61"/>
  <c r="N29" i="61"/>
  <c r="J29" i="61"/>
  <c r="R28" i="61"/>
  <c r="N28" i="61"/>
  <c r="J28" i="61"/>
  <c r="Q27" i="61"/>
  <c r="M27" i="61"/>
  <c r="I27" i="61"/>
  <c r="Q26" i="61"/>
  <c r="M26" i="61"/>
  <c r="I26" i="61"/>
  <c r="P25" i="61"/>
  <c r="L25" i="61"/>
  <c r="P24" i="61"/>
  <c r="L24" i="61"/>
  <c r="S23" i="61"/>
  <c r="O23" i="61"/>
  <c r="K23" i="61"/>
  <c r="S22" i="61"/>
  <c r="O22" i="61"/>
  <c r="K22" i="61"/>
  <c r="R21" i="61"/>
  <c r="N21" i="61"/>
  <c r="J21" i="61"/>
  <c r="R20" i="61"/>
  <c r="M20" i="61"/>
  <c r="S19" i="61"/>
  <c r="O19" i="61"/>
  <c r="K19" i="61"/>
  <c r="S18" i="61"/>
  <c r="O18" i="61"/>
  <c r="K18" i="61"/>
  <c r="R17" i="61"/>
  <c r="N17" i="61"/>
  <c r="J17" i="61"/>
  <c r="Q14" i="61"/>
  <c r="M14" i="61"/>
  <c r="I14" i="61"/>
  <c r="P13" i="61"/>
  <c r="L13" i="61"/>
  <c r="S14" i="59"/>
  <c r="O14" i="59"/>
  <c r="K14" i="59"/>
  <c r="R13" i="59"/>
  <c r="N13" i="59"/>
  <c r="J13" i="59"/>
  <c r="R46" i="57"/>
  <c r="N46" i="57"/>
  <c r="J46" i="57"/>
  <c r="Q45" i="57"/>
  <c r="M45" i="57"/>
  <c r="I45" i="57"/>
  <c r="P44" i="57"/>
  <c r="L44" i="57"/>
  <c r="S43" i="57"/>
  <c r="O43" i="57"/>
  <c r="K43" i="57"/>
  <c r="R42" i="57"/>
  <c r="N42" i="57"/>
  <c r="J42" i="57"/>
  <c r="Q41" i="57"/>
  <c r="M41" i="57"/>
  <c r="I41" i="57"/>
  <c r="P40" i="57"/>
  <c r="L40" i="57"/>
  <c r="S39" i="57"/>
  <c r="O39" i="57"/>
  <c r="K39" i="57"/>
  <c r="R38" i="57"/>
  <c r="N38" i="57"/>
  <c r="J38" i="57"/>
  <c r="Q37" i="57"/>
  <c r="M37" i="57"/>
  <c r="I37" i="57"/>
  <c r="L36" i="57"/>
  <c r="S35" i="57"/>
  <c r="O35" i="57"/>
  <c r="K35" i="57"/>
  <c r="R32" i="57"/>
  <c r="N32" i="57"/>
  <c r="J32" i="57"/>
  <c r="Q31" i="57"/>
  <c r="M31" i="57"/>
  <c r="I31" i="57"/>
  <c r="Q30" i="57"/>
  <c r="M30" i="57"/>
  <c r="I30" i="57"/>
  <c r="P29" i="57"/>
  <c r="L29" i="57"/>
  <c r="P28" i="57"/>
  <c r="L28" i="57"/>
  <c r="S27" i="57"/>
  <c r="O27" i="57"/>
  <c r="K27" i="57"/>
  <c r="S26" i="57"/>
  <c r="O26" i="57"/>
  <c r="K26" i="57"/>
  <c r="R25" i="57"/>
  <c r="N25" i="57"/>
  <c r="J25" i="57"/>
  <c r="R22" i="57"/>
  <c r="N22" i="57"/>
  <c r="J22" i="57"/>
  <c r="Q21" i="57"/>
  <c r="M21" i="57"/>
  <c r="I21" i="57"/>
  <c r="P20" i="57"/>
  <c r="L20" i="57"/>
  <c r="S19" i="57"/>
  <c r="O19" i="57"/>
  <c r="K19" i="57"/>
  <c r="R18" i="57"/>
  <c r="N18" i="57"/>
  <c r="J18" i="57"/>
  <c r="Q17" i="57"/>
  <c r="M17" i="57"/>
  <c r="I17" i="57"/>
  <c r="P16" i="57"/>
  <c r="L16" i="57"/>
  <c r="S15" i="57"/>
  <c r="O15" i="57"/>
  <c r="K15" i="57"/>
  <c r="R14" i="57"/>
  <c r="N14" i="57"/>
  <c r="J14" i="57"/>
  <c r="Q13" i="57"/>
  <c r="M13" i="57"/>
  <c r="I13" i="57"/>
  <c r="R40" i="55"/>
  <c r="N40" i="55"/>
  <c r="J40" i="55"/>
  <c r="Q39" i="55"/>
  <c r="M39" i="55"/>
  <c r="I39" i="55"/>
  <c r="Q38" i="55"/>
  <c r="M38" i="55"/>
  <c r="I38" i="55"/>
  <c r="P37" i="55"/>
  <c r="L37" i="55"/>
  <c r="P36" i="55"/>
  <c r="L36" i="55"/>
  <c r="S35" i="55"/>
  <c r="O35" i="55"/>
  <c r="K35" i="55"/>
  <c r="S34" i="55"/>
  <c r="O34" i="55"/>
  <c r="K34" i="55"/>
  <c r="R33" i="55"/>
  <c r="N33" i="55"/>
  <c r="J33" i="55"/>
  <c r="R32" i="55"/>
  <c r="N32" i="55"/>
  <c r="J32" i="55"/>
  <c r="Q31" i="55"/>
  <c r="M31" i="55"/>
  <c r="I31" i="55"/>
  <c r="Q30" i="55"/>
  <c r="M30" i="55"/>
  <c r="I30" i="55"/>
  <c r="P29" i="55"/>
  <c r="L29" i="55"/>
  <c r="P28" i="55"/>
  <c r="L28" i="55"/>
  <c r="S27" i="55"/>
  <c r="O27" i="55"/>
  <c r="K27" i="55"/>
  <c r="S26" i="55"/>
  <c r="O26" i="55"/>
  <c r="K26" i="55"/>
  <c r="R25" i="55"/>
  <c r="N25" i="55"/>
  <c r="J25" i="55"/>
  <c r="R24" i="55"/>
  <c r="N24" i="55"/>
  <c r="J24" i="55"/>
  <c r="Q23" i="55"/>
  <c r="M23" i="55"/>
  <c r="I23" i="55"/>
  <c r="P22" i="55"/>
  <c r="L22" i="55"/>
  <c r="S21" i="55"/>
  <c r="O21" i="55"/>
  <c r="K21" i="55"/>
  <c r="R18" i="55"/>
  <c r="N18" i="55"/>
  <c r="J18" i="55"/>
  <c r="Q17" i="55"/>
  <c r="M17" i="55"/>
  <c r="I17" i="55"/>
  <c r="Q16" i="55"/>
  <c r="M16" i="55"/>
  <c r="I16" i="55"/>
  <c r="P15" i="55"/>
  <c r="L15" i="55"/>
  <c r="P14" i="55"/>
  <c r="L14" i="55"/>
  <c r="S13" i="55"/>
  <c r="O13" i="55"/>
  <c r="K13" i="55"/>
  <c r="S24" i="53"/>
  <c r="O24" i="53"/>
  <c r="K24" i="53"/>
  <c r="R23" i="53"/>
  <c r="N23" i="53"/>
  <c r="J23" i="53"/>
  <c r="R22" i="53"/>
  <c r="N22" i="53"/>
  <c r="J22" i="53"/>
  <c r="Q21" i="53"/>
  <c r="M21" i="53"/>
  <c r="I21" i="53"/>
  <c r="Q18" i="53"/>
  <c r="M18" i="53"/>
  <c r="I18" i="53"/>
  <c r="P17" i="53"/>
  <c r="L17" i="53"/>
  <c r="P16" i="53"/>
  <c r="L16" i="53"/>
  <c r="S15" i="53"/>
  <c r="O15" i="53"/>
  <c r="K15" i="53"/>
  <c r="S14" i="53"/>
  <c r="O14" i="53"/>
  <c r="K14" i="53"/>
  <c r="R13" i="53"/>
  <c r="N13" i="53"/>
  <c r="J13" i="53"/>
  <c r="S20" i="51"/>
  <c r="O20" i="51"/>
  <c r="K20" i="51"/>
  <c r="R19" i="51"/>
  <c r="N19" i="51"/>
  <c r="J19" i="51"/>
  <c r="Q18" i="51"/>
  <c r="M18" i="51"/>
  <c r="I18" i="51"/>
  <c r="P17" i="51"/>
  <c r="L17" i="51"/>
  <c r="S16" i="51"/>
  <c r="P16" i="51"/>
  <c r="N16" i="51"/>
  <c r="L16" i="51"/>
  <c r="J16" i="51"/>
  <c r="S15" i="51"/>
  <c r="Q15" i="51"/>
  <c r="O15" i="51"/>
  <c r="M15" i="51"/>
  <c r="K15" i="51"/>
  <c r="I15" i="51"/>
  <c r="R14" i="51"/>
  <c r="P14" i="51"/>
  <c r="N14" i="51"/>
  <c r="L14" i="51"/>
  <c r="J14" i="51"/>
  <c r="S13" i="51"/>
  <c r="Q13" i="51"/>
  <c r="O13" i="51"/>
  <c r="M13" i="51"/>
  <c r="K13" i="51"/>
  <c r="I13" i="51"/>
  <c r="R24" i="49"/>
  <c r="P24" i="49"/>
  <c r="N24" i="49"/>
  <c r="L24" i="49"/>
  <c r="J24" i="49"/>
  <c r="S23" i="49"/>
  <c r="Q23" i="49"/>
  <c r="O23" i="49"/>
  <c r="M23" i="49"/>
  <c r="K23" i="49"/>
  <c r="I23" i="49"/>
  <c r="S22" i="49"/>
  <c r="Q22" i="49"/>
  <c r="O22" i="49"/>
  <c r="M22" i="49"/>
  <c r="K22" i="49"/>
  <c r="I22" i="49"/>
  <c r="R21" i="49"/>
  <c r="P21" i="49"/>
  <c r="N21" i="49"/>
  <c r="L21" i="49"/>
  <c r="J21" i="49"/>
  <c r="R20" i="49"/>
  <c r="P20" i="49"/>
  <c r="N20" i="49"/>
  <c r="L20" i="49"/>
  <c r="J20" i="49"/>
  <c r="S19" i="49"/>
  <c r="Q19" i="49"/>
  <c r="O19" i="49"/>
  <c r="M19" i="49"/>
  <c r="K19" i="49"/>
  <c r="I19" i="49"/>
  <c r="S18" i="49"/>
  <c r="Q18" i="49"/>
  <c r="O18" i="49"/>
  <c r="M18" i="49"/>
  <c r="K18" i="49"/>
  <c r="I18" i="49"/>
  <c r="R17" i="49"/>
  <c r="P17" i="49"/>
  <c r="N17" i="49"/>
  <c r="L17" i="49"/>
  <c r="J17" i="49"/>
  <c r="R16" i="49"/>
  <c r="P16" i="49"/>
  <c r="N16" i="49"/>
  <c r="L16" i="49"/>
  <c r="J16" i="49"/>
  <c r="S15" i="49"/>
  <c r="Q15" i="49"/>
  <c r="O15" i="49"/>
  <c r="M15" i="49"/>
  <c r="K15" i="49"/>
  <c r="I15" i="49"/>
  <c r="S14" i="49"/>
  <c r="Q14" i="49"/>
  <c r="O14" i="49"/>
  <c r="M14" i="49"/>
  <c r="K14" i="49"/>
  <c r="I14" i="49"/>
  <c r="R13" i="49"/>
  <c r="P13" i="49"/>
  <c r="N13" i="49"/>
  <c r="L13" i="49"/>
  <c r="J13" i="49"/>
  <c r="R32" i="47"/>
  <c r="P32" i="47"/>
  <c r="N32" i="47"/>
  <c r="L32" i="47"/>
  <c r="J32" i="47"/>
  <c r="S31" i="47"/>
  <c r="Q31" i="47"/>
  <c r="O31" i="47"/>
  <c r="M31" i="47"/>
  <c r="K31" i="47"/>
  <c r="I31" i="47"/>
  <c r="R30" i="47"/>
  <c r="P30" i="47"/>
  <c r="N30" i="47"/>
  <c r="L30" i="47"/>
  <c r="J30" i="47"/>
  <c r="S29" i="47"/>
  <c r="Q29" i="47"/>
  <c r="O29" i="47"/>
  <c r="M29" i="47"/>
  <c r="K29" i="47"/>
  <c r="I29" i="47"/>
  <c r="R28" i="47"/>
  <c r="P28" i="47"/>
  <c r="N28" i="47"/>
  <c r="L28" i="47"/>
  <c r="J28" i="47"/>
  <c r="S27" i="47"/>
  <c r="Q27" i="47"/>
  <c r="O27" i="47"/>
  <c r="M27" i="47"/>
  <c r="K27" i="47"/>
  <c r="I27" i="47"/>
  <c r="R26" i="47"/>
  <c r="P26" i="47"/>
  <c r="N26" i="47"/>
  <c r="L26" i="47"/>
  <c r="J26" i="47"/>
  <c r="S25" i="47"/>
  <c r="Q25" i="47"/>
  <c r="O25" i="47"/>
  <c r="M25" i="47"/>
  <c r="K25" i="47"/>
  <c r="I25" i="47"/>
  <c r="R24" i="47"/>
  <c r="P24" i="47"/>
  <c r="N24" i="47"/>
  <c r="L24" i="47"/>
  <c r="J24" i="47"/>
  <c r="S23" i="47"/>
  <c r="Q23" i="47"/>
  <c r="O23" i="47"/>
  <c r="M23" i="47"/>
  <c r="K23" i="47"/>
  <c r="I23" i="47"/>
  <c r="R22" i="47"/>
  <c r="P22" i="47"/>
  <c r="N22" i="47"/>
  <c r="L22" i="47"/>
  <c r="J22" i="47"/>
  <c r="S21" i="47"/>
  <c r="Q21" i="47"/>
  <c r="O21" i="47"/>
  <c r="M21" i="47"/>
  <c r="K21" i="47"/>
  <c r="I21" i="47"/>
  <c r="R20" i="47"/>
  <c r="P20" i="47"/>
  <c r="N20" i="47"/>
  <c r="L20" i="47"/>
  <c r="J20" i="47"/>
  <c r="S19" i="47"/>
  <c r="Q19" i="47"/>
  <c r="O19" i="47"/>
  <c r="M19" i="47"/>
  <c r="K19" i="47"/>
  <c r="I19" i="47"/>
  <c r="R18" i="47"/>
  <c r="P18" i="47"/>
  <c r="N18" i="47"/>
  <c r="L18" i="47"/>
  <c r="J18" i="47"/>
  <c r="S17" i="47"/>
  <c r="Q17" i="47"/>
  <c r="O17" i="47"/>
  <c r="M17" i="47"/>
  <c r="K17" i="47"/>
  <c r="I17" i="47"/>
  <c r="R16" i="47"/>
  <c r="P16" i="47"/>
  <c r="N16" i="47"/>
  <c r="L16" i="47"/>
  <c r="J16" i="47"/>
  <c r="S15" i="47"/>
  <c r="Q15" i="47"/>
  <c r="O15" i="47"/>
  <c r="M15" i="47"/>
  <c r="K15" i="47"/>
  <c r="I15" i="47"/>
  <c r="R14" i="47"/>
  <c r="P14" i="47"/>
  <c r="N14" i="47"/>
  <c r="L14" i="47"/>
  <c r="J14" i="47"/>
  <c r="S13" i="47"/>
  <c r="Q13" i="47"/>
  <c r="O13" i="47"/>
  <c r="M13" i="47"/>
  <c r="K13" i="47"/>
  <c r="I13" i="47"/>
  <c r="R52" i="45"/>
  <c r="P52" i="45"/>
  <c r="N52" i="45"/>
  <c r="L52" i="45"/>
  <c r="J52" i="45"/>
  <c r="S51" i="45"/>
  <c r="Q51" i="45"/>
  <c r="O51" i="45"/>
  <c r="M51" i="45"/>
  <c r="K51" i="45"/>
  <c r="I51" i="45"/>
  <c r="R50" i="45"/>
  <c r="P50" i="45"/>
  <c r="N50" i="45"/>
  <c r="L50" i="45"/>
  <c r="J50" i="45"/>
  <c r="S49" i="45"/>
  <c r="Q49" i="45"/>
  <c r="O49" i="45"/>
  <c r="M49" i="45"/>
  <c r="K49" i="45"/>
  <c r="I49" i="45"/>
  <c r="R48" i="45"/>
  <c r="P48" i="45"/>
  <c r="N48" i="45"/>
  <c r="L48" i="45"/>
  <c r="J48" i="45"/>
  <c r="S47" i="45"/>
  <c r="Q47" i="45"/>
  <c r="O47" i="45"/>
  <c r="M47" i="45"/>
  <c r="K47" i="45"/>
  <c r="I47" i="45"/>
  <c r="R46" i="45"/>
  <c r="P46" i="45"/>
  <c r="N46" i="45"/>
  <c r="L46" i="45"/>
  <c r="J46" i="45"/>
  <c r="S45" i="45"/>
  <c r="Q45" i="45"/>
  <c r="O45" i="45"/>
  <c r="M45" i="45"/>
  <c r="K45" i="45"/>
  <c r="I45" i="45"/>
  <c r="R44" i="45"/>
  <c r="P44" i="45"/>
  <c r="N44" i="45"/>
  <c r="L44" i="45"/>
  <c r="J44" i="45"/>
  <c r="S43" i="45"/>
  <c r="Q43" i="45"/>
  <c r="O43" i="45"/>
  <c r="M43" i="45"/>
  <c r="K43" i="45"/>
  <c r="I43" i="45"/>
  <c r="R42" i="45"/>
  <c r="P42" i="45"/>
  <c r="N42" i="45"/>
  <c r="L42" i="45"/>
  <c r="J42" i="45"/>
  <c r="S41" i="45"/>
  <c r="Q41" i="45"/>
  <c r="O41" i="45"/>
  <c r="M41" i="45"/>
  <c r="K41" i="45"/>
  <c r="I41" i="45"/>
  <c r="R40" i="45"/>
  <c r="P40" i="45"/>
  <c r="N40" i="45"/>
  <c r="L40" i="45"/>
  <c r="J40" i="45"/>
  <c r="S39" i="45"/>
  <c r="Q39" i="45"/>
  <c r="O39" i="45"/>
  <c r="M39" i="45"/>
  <c r="K39" i="45"/>
  <c r="I39" i="45"/>
  <c r="R38" i="45"/>
  <c r="P38" i="45"/>
  <c r="N38" i="45"/>
  <c r="L38" i="45"/>
  <c r="J38" i="45"/>
  <c r="S37" i="45"/>
  <c r="Q37" i="45"/>
  <c r="O37" i="45"/>
  <c r="M37" i="45"/>
  <c r="K37" i="45"/>
  <c r="I37" i="45"/>
  <c r="R36" i="45"/>
  <c r="P36" i="45"/>
  <c r="N36" i="45"/>
  <c r="L36" i="45"/>
  <c r="J36" i="45"/>
  <c r="S35" i="45"/>
  <c r="Q35" i="45"/>
  <c r="O35" i="45"/>
  <c r="M35" i="45"/>
  <c r="K35" i="45"/>
  <c r="I35" i="45"/>
  <c r="I33" i="45"/>
  <c r="R32" i="45"/>
  <c r="P32" i="45"/>
  <c r="N32" i="45"/>
  <c r="L32" i="45"/>
  <c r="J32" i="45"/>
  <c r="S31" i="45"/>
  <c r="Q31" i="45"/>
  <c r="O31" i="45"/>
  <c r="M31" i="45"/>
  <c r="K31" i="45"/>
  <c r="I31" i="45"/>
  <c r="R30" i="45"/>
  <c r="P30" i="45"/>
  <c r="N30" i="45"/>
  <c r="L30" i="45"/>
  <c r="J30" i="45"/>
  <c r="S29" i="45"/>
  <c r="Q29" i="45"/>
  <c r="O29" i="45"/>
  <c r="M29" i="45"/>
  <c r="K29" i="45"/>
  <c r="I29" i="45"/>
  <c r="R28" i="45"/>
  <c r="P28" i="45"/>
  <c r="N28" i="45"/>
  <c r="L28" i="45"/>
  <c r="J28" i="45"/>
  <c r="S27" i="45"/>
  <c r="Q27" i="45"/>
  <c r="O27" i="45"/>
  <c r="M27" i="45"/>
  <c r="K27" i="45"/>
  <c r="I27" i="45"/>
  <c r="R26" i="45"/>
  <c r="P26" i="45"/>
  <c r="N26" i="45"/>
  <c r="L26" i="45"/>
  <c r="J26" i="45"/>
  <c r="S25" i="45"/>
  <c r="Q25" i="45"/>
  <c r="O25" i="45"/>
  <c r="M25" i="45"/>
  <c r="K25" i="45"/>
  <c r="I25" i="45"/>
  <c r="R24" i="45"/>
  <c r="P24" i="45"/>
  <c r="N24" i="45"/>
  <c r="L24" i="45"/>
  <c r="J24" i="45"/>
  <c r="S23" i="45"/>
  <c r="Q23" i="45"/>
  <c r="O23" i="45"/>
  <c r="M23" i="45"/>
  <c r="K23" i="45"/>
  <c r="I23" i="45"/>
  <c r="R22" i="45"/>
  <c r="P22" i="45"/>
  <c r="N22" i="45"/>
  <c r="L22" i="45"/>
  <c r="J22" i="45"/>
  <c r="S21" i="45"/>
  <c r="Q21" i="45"/>
  <c r="O21" i="45"/>
  <c r="M21" i="45"/>
  <c r="K21" i="45"/>
  <c r="I21" i="45"/>
  <c r="R20" i="45"/>
  <c r="P20" i="45"/>
  <c r="N20" i="45"/>
  <c r="L20" i="45"/>
  <c r="J20" i="45"/>
  <c r="S19" i="45"/>
  <c r="Q19" i="45"/>
  <c r="O19" i="45"/>
  <c r="M19" i="45"/>
  <c r="K19" i="45"/>
  <c r="I19" i="45"/>
  <c r="R18" i="45"/>
  <c r="P18" i="45"/>
  <c r="N18" i="45"/>
  <c r="L18" i="45"/>
  <c r="J18" i="45"/>
  <c r="S17" i="45"/>
  <c r="Q17" i="45"/>
  <c r="O17" i="45"/>
  <c r="M17" i="45"/>
  <c r="K17" i="45"/>
  <c r="I17" i="45"/>
  <c r="R16" i="45"/>
  <c r="P16" i="45"/>
  <c r="N16" i="45"/>
  <c r="L16" i="45"/>
  <c r="J16" i="45"/>
  <c r="S15" i="45"/>
  <c r="Q15" i="45"/>
  <c r="O15" i="45"/>
  <c r="M15" i="45"/>
  <c r="K15" i="45"/>
  <c r="I15" i="45"/>
  <c r="R14" i="45"/>
  <c r="P14" i="45"/>
  <c r="N14" i="45"/>
  <c r="L14" i="45"/>
  <c r="J14" i="45"/>
  <c r="S13" i="45"/>
  <c r="Q13" i="45"/>
  <c r="O13" i="45"/>
  <c r="M13" i="45"/>
  <c r="K13" i="45"/>
  <c r="I13" i="45"/>
  <c r="R20" i="43"/>
  <c r="P20" i="43"/>
  <c r="N20" i="43"/>
  <c r="L20" i="43"/>
  <c r="J20" i="43"/>
  <c r="S19" i="43"/>
  <c r="Q19" i="43"/>
  <c r="O19" i="43"/>
  <c r="M19" i="43"/>
  <c r="K19" i="43"/>
  <c r="I19" i="43"/>
  <c r="R18" i="43"/>
  <c r="P18" i="43"/>
  <c r="N18" i="43"/>
  <c r="L18" i="43"/>
  <c r="J18" i="43"/>
  <c r="S17" i="43"/>
  <c r="Q17" i="43"/>
  <c r="O17" i="43"/>
  <c r="M17" i="43"/>
  <c r="K17" i="43"/>
  <c r="I17" i="43"/>
  <c r="R16" i="43"/>
  <c r="P16" i="43"/>
  <c r="N16" i="43"/>
  <c r="L16" i="43"/>
  <c r="J16" i="43"/>
  <c r="S15" i="43"/>
  <c r="Q15" i="43"/>
  <c r="O15" i="43"/>
  <c r="M15" i="43"/>
  <c r="K15" i="43"/>
  <c r="I15" i="43"/>
  <c r="R14" i="43"/>
  <c r="P14" i="43"/>
  <c r="N14" i="43"/>
  <c r="L14" i="43"/>
  <c r="J14" i="43"/>
  <c r="S13" i="43"/>
  <c r="Q13" i="43"/>
  <c r="O13" i="43"/>
  <c r="M13" i="43"/>
  <c r="K13" i="43"/>
  <c r="I13" i="43"/>
  <c r="R16" i="41"/>
  <c r="P16" i="41"/>
  <c r="N16" i="41"/>
  <c r="L16" i="41"/>
  <c r="J16" i="41"/>
  <c r="S15" i="41"/>
  <c r="Q15" i="41"/>
  <c r="O15" i="41"/>
  <c r="M15" i="41"/>
  <c r="K15" i="41"/>
  <c r="I15" i="41"/>
  <c r="S14" i="41"/>
  <c r="S18" i="41" s="1"/>
  <c r="Q14" i="41"/>
  <c r="O14" i="41"/>
  <c r="O18" i="41" s="1"/>
  <c r="M14" i="41"/>
  <c r="K14" i="41"/>
  <c r="I14" i="41"/>
  <c r="R13" i="41"/>
  <c r="R17" i="41" s="1"/>
  <c r="P13" i="41"/>
  <c r="N13" i="41"/>
  <c r="N17" i="41" s="1"/>
  <c r="L13" i="41"/>
  <c r="J13" i="41"/>
  <c r="J17" i="41" s="1"/>
  <c r="R16" i="39"/>
  <c r="P16" i="39"/>
  <c r="N16" i="39"/>
  <c r="L16" i="39"/>
  <c r="J16" i="39"/>
  <c r="S15" i="39"/>
  <c r="Q15" i="39"/>
  <c r="O15" i="39"/>
  <c r="M15" i="39"/>
  <c r="K15" i="39"/>
  <c r="I15" i="39"/>
  <c r="R14" i="39"/>
  <c r="P14" i="39"/>
  <c r="N14" i="39"/>
  <c r="L14" i="39"/>
  <c r="J14" i="39"/>
  <c r="S13" i="39"/>
  <c r="Q13" i="39"/>
  <c r="O13" i="39"/>
  <c r="M13" i="39"/>
  <c r="K13" i="39"/>
  <c r="I13" i="39"/>
  <c r="S26" i="37"/>
  <c r="Q26" i="37"/>
  <c r="O26" i="37"/>
  <c r="M26" i="37"/>
  <c r="K26" i="37"/>
  <c r="I26" i="37"/>
  <c r="R25" i="37"/>
  <c r="P25" i="37"/>
  <c r="N25" i="37"/>
  <c r="L25" i="37"/>
  <c r="J25" i="37"/>
  <c r="R24" i="37"/>
  <c r="P24" i="37"/>
  <c r="N24" i="37"/>
  <c r="L24" i="37"/>
  <c r="J24" i="37"/>
  <c r="S23" i="37"/>
  <c r="Q23" i="37"/>
  <c r="O23" i="37"/>
  <c r="M23" i="37"/>
  <c r="K23" i="37"/>
  <c r="I23" i="37"/>
  <c r="R22" i="37"/>
  <c r="P22" i="37"/>
  <c r="N22" i="37"/>
  <c r="L22" i="37"/>
  <c r="J22" i="37"/>
  <c r="S21" i="37"/>
  <c r="Q21" i="37"/>
  <c r="O21" i="37"/>
  <c r="M21" i="37"/>
  <c r="K21" i="37"/>
  <c r="I21" i="37"/>
  <c r="R20" i="37"/>
  <c r="P20" i="37"/>
  <c r="N20" i="37"/>
  <c r="L20" i="37"/>
  <c r="J20" i="37"/>
  <c r="S19" i="37"/>
  <c r="Q19" i="37"/>
  <c r="O19" i="37"/>
  <c r="M19" i="37"/>
  <c r="K19" i="37"/>
  <c r="I19" i="37"/>
  <c r="R18" i="37"/>
  <c r="P18" i="37"/>
  <c r="N18" i="37"/>
  <c r="L18" i="37"/>
  <c r="J18" i="37"/>
  <c r="S17" i="37"/>
  <c r="Q17" i="37"/>
  <c r="O17" i="37"/>
  <c r="M17" i="37"/>
  <c r="K17" i="37"/>
  <c r="I17" i="37"/>
  <c r="R16" i="37"/>
  <c r="P16" i="37"/>
  <c r="N16" i="37"/>
  <c r="L16" i="37"/>
  <c r="J16" i="37"/>
  <c r="S15" i="37"/>
  <c r="Q15" i="37"/>
  <c r="O15" i="37"/>
  <c r="M15" i="37"/>
  <c r="K15" i="37"/>
  <c r="I15" i="37"/>
  <c r="R14" i="37"/>
  <c r="P14" i="37"/>
  <c r="N14" i="37"/>
  <c r="L14" i="37"/>
  <c r="J14" i="37"/>
  <c r="S13" i="37"/>
  <c r="Q13" i="37"/>
  <c r="O13" i="37"/>
  <c r="M13" i="37"/>
  <c r="K13" i="37"/>
  <c r="I13" i="37"/>
  <c r="S32" i="35"/>
  <c r="Q32" i="35"/>
  <c r="O32" i="35"/>
  <c r="M32" i="35"/>
  <c r="K32" i="35"/>
  <c r="I32" i="35"/>
  <c r="R31" i="35"/>
  <c r="P31" i="35"/>
  <c r="N31" i="35"/>
  <c r="L31" i="35"/>
  <c r="J31" i="35"/>
  <c r="R30" i="35"/>
  <c r="P30" i="35"/>
  <c r="N30" i="35"/>
  <c r="L30" i="35"/>
  <c r="J30" i="35"/>
  <c r="S29" i="35"/>
  <c r="Q29" i="35"/>
  <c r="O29" i="35"/>
  <c r="M29" i="35"/>
  <c r="K29" i="35"/>
  <c r="I29" i="35"/>
  <c r="S28" i="35"/>
  <c r="Q28" i="35"/>
  <c r="O28" i="35"/>
  <c r="M28" i="35"/>
  <c r="K28" i="35"/>
  <c r="I28" i="35"/>
  <c r="R27" i="35"/>
  <c r="P27" i="35"/>
  <c r="N27" i="35"/>
  <c r="L27" i="35"/>
  <c r="J27" i="35"/>
  <c r="R26" i="35"/>
  <c r="P26" i="35"/>
  <c r="N26" i="35"/>
  <c r="L26" i="35"/>
  <c r="J26" i="35"/>
  <c r="S25" i="35"/>
  <c r="Q25" i="35"/>
  <c r="O25" i="35"/>
  <c r="M25" i="35"/>
  <c r="K25" i="35"/>
  <c r="I25" i="35"/>
  <c r="S24" i="35"/>
  <c r="Q24" i="35"/>
  <c r="O24" i="35"/>
  <c r="M24" i="35"/>
  <c r="K24" i="35"/>
  <c r="I24" i="35"/>
  <c r="R23" i="35"/>
  <c r="P23" i="35"/>
  <c r="N23" i="35"/>
  <c r="L23" i="35"/>
  <c r="J23" i="35"/>
  <c r="R22" i="35"/>
  <c r="P22" i="35"/>
  <c r="N22" i="35"/>
  <c r="L22" i="35"/>
  <c r="J22" i="35"/>
  <c r="S21" i="35"/>
  <c r="Q21" i="35"/>
  <c r="O21" i="35"/>
  <c r="M21" i="35"/>
  <c r="K21" i="35"/>
  <c r="I21" i="35"/>
  <c r="S20" i="35"/>
  <c r="Q20" i="35"/>
  <c r="O20" i="35"/>
  <c r="M20" i="35"/>
  <c r="K20" i="35"/>
  <c r="I20" i="35"/>
  <c r="R19" i="35"/>
  <c r="P19" i="35"/>
  <c r="N19" i="35"/>
  <c r="L19" i="35"/>
  <c r="J19" i="35"/>
  <c r="R18" i="35"/>
  <c r="P18" i="35"/>
  <c r="N18" i="35"/>
  <c r="L18" i="35"/>
  <c r="J18" i="35"/>
  <c r="S17" i="35"/>
  <c r="Q17" i="35"/>
  <c r="O17" i="35"/>
  <c r="M17" i="35"/>
  <c r="K17" i="35"/>
  <c r="I17" i="35"/>
  <c r="S16" i="35"/>
  <c r="Q16" i="35"/>
  <c r="O16" i="35"/>
  <c r="M16" i="35"/>
  <c r="K16" i="35"/>
  <c r="I16" i="35"/>
  <c r="R15" i="35"/>
  <c r="P15" i="35"/>
  <c r="N15" i="35"/>
  <c r="L15" i="35"/>
  <c r="J15" i="35"/>
  <c r="R14" i="33"/>
  <c r="R16" i="33" s="1"/>
  <c r="P14" i="33"/>
  <c r="P16" i="33" s="1"/>
  <c r="N14" i="33"/>
  <c r="N16" i="33" s="1"/>
  <c r="L14" i="33"/>
  <c r="L16" i="33" s="1"/>
  <c r="J14" i="33"/>
  <c r="J16" i="33" s="1"/>
  <c r="S13" i="33"/>
  <c r="S15" i="33" s="1"/>
  <c r="Q13" i="33"/>
  <c r="Q15" i="33" s="1"/>
  <c r="O13" i="33"/>
  <c r="O15" i="33" s="1"/>
  <c r="M13" i="33"/>
  <c r="M15" i="33" s="1"/>
  <c r="K13" i="33"/>
  <c r="K15" i="33" s="1"/>
  <c r="I13" i="33"/>
  <c r="I15" i="33" s="1"/>
  <c r="S77" i="31"/>
  <c r="Q77" i="31"/>
  <c r="O77" i="31"/>
  <c r="M77" i="31"/>
  <c r="K77" i="31"/>
  <c r="I77" i="31"/>
  <c r="R76" i="31"/>
  <c r="P76" i="31"/>
  <c r="N76" i="31"/>
  <c r="L76" i="31"/>
  <c r="J76" i="31"/>
  <c r="R75" i="31"/>
  <c r="P75" i="31"/>
  <c r="N75" i="31"/>
  <c r="L75" i="31"/>
  <c r="J75" i="31"/>
  <c r="S74" i="31"/>
  <c r="Q74" i="31"/>
  <c r="O74" i="31"/>
  <c r="M74" i="31"/>
  <c r="K74" i="31"/>
  <c r="I74" i="31"/>
  <c r="S71" i="31"/>
  <c r="Q71" i="31"/>
  <c r="O71" i="31"/>
  <c r="M71" i="31"/>
  <c r="K71" i="31"/>
  <c r="I71" i="31"/>
  <c r="R70" i="31"/>
  <c r="P70" i="31"/>
  <c r="N70" i="31"/>
  <c r="L70" i="31"/>
  <c r="J70" i="31"/>
  <c r="S69" i="31"/>
  <c r="Q69" i="31"/>
  <c r="O69" i="31"/>
  <c r="M69" i="31"/>
  <c r="K69" i="31"/>
  <c r="I69" i="31"/>
  <c r="R68" i="31"/>
  <c r="P68" i="31"/>
  <c r="N68" i="31"/>
  <c r="L68" i="31"/>
  <c r="J68" i="31"/>
  <c r="S67" i="31"/>
  <c r="Q67" i="31"/>
  <c r="O67" i="31"/>
  <c r="M67" i="31"/>
  <c r="K67" i="31"/>
  <c r="I67" i="31"/>
  <c r="R66" i="31"/>
  <c r="P66" i="31"/>
  <c r="N66" i="31"/>
  <c r="L66" i="31"/>
  <c r="J66" i="31"/>
  <c r="S65" i="31"/>
  <c r="Q65" i="31"/>
  <c r="O65" i="31"/>
  <c r="M65" i="31"/>
  <c r="K65" i="31"/>
  <c r="I65" i="31"/>
  <c r="R64" i="31"/>
  <c r="P64" i="31"/>
  <c r="N64" i="31"/>
  <c r="L64" i="31"/>
  <c r="J64" i="31"/>
  <c r="S63" i="31"/>
  <c r="Q63" i="31"/>
  <c r="O63" i="31"/>
  <c r="M63" i="31"/>
  <c r="K63" i="31"/>
  <c r="I63" i="31"/>
  <c r="R62" i="31"/>
  <c r="P62" i="31"/>
  <c r="N62" i="31"/>
  <c r="L62" i="31"/>
  <c r="J62" i="31"/>
  <c r="S61" i="31"/>
  <c r="Q61" i="31"/>
  <c r="O61" i="31"/>
  <c r="M61" i="31"/>
  <c r="K61" i="31"/>
  <c r="I61" i="31"/>
  <c r="R60" i="31"/>
  <c r="P60" i="31"/>
  <c r="N60" i="31"/>
  <c r="L60" i="31"/>
  <c r="J60" i="31"/>
  <c r="S59" i="31"/>
  <c r="Q59" i="31"/>
  <c r="O59" i="31"/>
  <c r="M59" i="31"/>
  <c r="K59" i="31"/>
  <c r="I59" i="31"/>
  <c r="R58" i="31"/>
  <c r="P58" i="31"/>
  <c r="N58" i="31"/>
  <c r="L58" i="31"/>
  <c r="J58" i="31"/>
  <c r="S57" i="31"/>
  <c r="Q57" i="31"/>
  <c r="O57" i="31"/>
  <c r="M57" i="31"/>
  <c r="K57" i="31"/>
  <c r="I57" i="31"/>
  <c r="R56" i="31"/>
  <c r="P56" i="31"/>
  <c r="N56" i="31"/>
  <c r="L56" i="31"/>
  <c r="J56" i="31"/>
  <c r="S55" i="31"/>
  <c r="Q55" i="31"/>
  <c r="O55" i="31"/>
  <c r="M55" i="31"/>
  <c r="K55" i="31"/>
  <c r="I55" i="31"/>
  <c r="R54" i="31"/>
  <c r="P54" i="31"/>
  <c r="N54" i="31"/>
  <c r="L54" i="31"/>
  <c r="J54" i="31"/>
  <c r="S53" i="31"/>
  <c r="Q53" i="31"/>
  <c r="O53" i="31"/>
  <c r="M53" i="31"/>
  <c r="K53" i="31"/>
  <c r="I53" i="31"/>
  <c r="R52" i="31"/>
  <c r="P52" i="31"/>
  <c r="N52" i="31"/>
  <c r="L52" i="31"/>
  <c r="J52" i="31"/>
  <c r="S51" i="31"/>
  <c r="Q51" i="31"/>
  <c r="O51" i="31"/>
  <c r="M51" i="31"/>
  <c r="K51" i="31"/>
  <c r="I51" i="31"/>
  <c r="R50" i="31"/>
  <c r="P50" i="31"/>
  <c r="N50" i="31"/>
  <c r="L50" i="31"/>
  <c r="J50" i="31"/>
  <c r="S49" i="31"/>
  <c r="Q49" i="31"/>
  <c r="O49" i="31"/>
  <c r="M49" i="31"/>
  <c r="K49" i="31"/>
  <c r="I49" i="31"/>
  <c r="R48" i="31"/>
  <c r="P48" i="31"/>
  <c r="N48" i="31"/>
  <c r="L48" i="31"/>
  <c r="J48" i="31"/>
  <c r="S45" i="31"/>
  <c r="Q45" i="31"/>
  <c r="O45" i="31"/>
  <c r="M45" i="31"/>
  <c r="K45" i="31"/>
  <c r="I45" i="31"/>
  <c r="R44" i="31"/>
  <c r="P44" i="31"/>
  <c r="N44" i="31"/>
  <c r="L44" i="31"/>
  <c r="J44" i="31"/>
  <c r="R43" i="31"/>
  <c r="P43" i="31"/>
  <c r="N43" i="31"/>
  <c r="L43" i="31"/>
  <c r="J43" i="31"/>
  <c r="S42" i="31"/>
  <c r="Q42" i="31"/>
  <c r="O42" i="31"/>
  <c r="M42" i="31"/>
  <c r="K42" i="31"/>
  <c r="I42" i="31"/>
  <c r="S41" i="31"/>
  <c r="Q41" i="31"/>
  <c r="O41" i="31"/>
  <c r="M41" i="31"/>
  <c r="K41" i="31"/>
  <c r="I41" i="31"/>
  <c r="R40" i="31"/>
  <c r="P40" i="31"/>
  <c r="N40" i="31"/>
  <c r="L40" i="31"/>
  <c r="J40" i="31"/>
  <c r="R39" i="31"/>
  <c r="P39" i="31"/>
  <c r="N39" i="31"/>
  <c r="L39" i="31"/>
  <c r="J39" i="31"/>
  <c r="S38" i="31"/>
  <c r="Q38" i="31"/>
  <c r="O38" i="31"/>
  <c r="M38" i="31"/>
  <c r="K38" i="31"/>
  <c r="I38" i="31"/>
  <c r="S37" i="31"/>
  <c r="Q37" i="31"/>
  <c r="O37" i="31"/>
  <c r="M37" i="31"/>
  <c r="K37" i="31"/>
  <c r="I37" i="31"/>
  <c r="R36" i="31"/>
  <c r="P36" i="31"/>
  <c r="N36" i="31"/>
  <c r="L36" i="31"/>
  <c r="J36" i="31"/>
  <c r="R35" i="31"/>
  <c r="P35" i="31"/>
  <c r="N35" i="31"/>
  <c r="L35" i="31"/>
  <c r="J35" i="31"/>
  <c r="S34" i="31"/>
  <c r="Q34" i="31"/>
  <c r="O34" i="31"/>
  <c r="M34" i="31"/>
  <c r="K34" i="31"/>
  <c r="I34" i="31"/>
  <c r="S33" i="31"/>
  <c r="Q33" i="31"/>
  <c r="O33" i="31"/>
  <c r="M33" i="31"/>
  <c r="K33" i="31"/>
  <c r="I33" i="31"/>
  <c r="R32" i="31"/>
  <c r="P32" i="31"/>
  <c r="N32" i="31"/>
  <c r="L32" i="31"/>
  <c r="J32" i="31"/>
  <c r="R31" i="31"/>
  <c r="P31" i="31"/>
  <c r="N31" i="31"/>
  <c r="L31" i="31"/>
  <c r="J31" i="31"/>
  <c r="S30" i="31"/>
  <c r="Q30" i="31"/>
  <c r="O30" i="31"/>
  <c r="M30" i="31"/>
  <c r="K30" i="31"/>
  <c r="I30" i="31"/>
  <c r="S29" i="31"/>
  <c r="Q29" i="31"/>
  <c r="O29" i="31"/>
  <c r="M29" i="31"/>
  <c r="K29" i="31"/>
  <c r="I29" i="31"/>
  <c r="R28" i="31"/>
  <c r="P28" i="31"/>
  <c r="N28" i="31"/>
  <c r="L28" i="31"/>
  <c r="J28" i="31"/>
  <c r="R27" i="31"/>
  <c r="P27" i="31"/>
  <c r="N27" i="31"/>
  <c r="L27" i="31"/>
  <c r="J27" i="31"/>
  <c r="S26" i="31"/>
  <c r="Q26" i="31"/>
  <c r="O26" i="31"/>
  <c r="M26" i="31"/>
  <c r="K26" i="31"/>
  <c r="I26" i="31"/>
  <c r="S25" i="31"/>
  <c r="Q25" i="31"/>
  <c r="O25" i="31"/>
  <c r="M25" i="31"/>
  <c r="K25" i="31"/>
  <c r="I25" i="31"/>
  <c r="R24" i="31"/>
  <c r="P24" i="31"/>
  <c r="N24" i="31"/>
  <c r="L24" i="31"/>
  <c r="J24" i="31"/>
  <c r="R23" i="31"/>
  <c r="P23" i="31"/>
  <c r="N23" i="31"/>
  <c r="L23" i="31"/>
  <c r="J23" i="31"/>
  <c r="S22" i="31"/>
  <c r="Q22" i="31"/>
  <c r="O22" i="31"/>
  <c r="M22" i="31"/>
  <c r="K22" i="31"/>
  <c r="I22" i="31"/>
  <c r="S21" i="31"/>
  <c r="Q21" i="31"/>
  <c r="O21" i="31"/>
  <c r="M21" i="31"/>
  <c r="K21" i="31"/>
  <c r="I21" i="31"/>
  <c r="R20" i="31"/>
  <c r="P20" i="31"/>
  <c r="N20" i="31"/>
  <c r="L20" i="31"/>
  <c r="J20" i="31"/>
  <c r="R19" i="31"/>
  <c r="P19" i="31"/>
  <c r="N19" i="31"/>
  <c r="I14" i="1"/>
  <c r="K14" i="1"/>
  <c r="M14" i="1"/>
  <c r="O14" i="1"/>
  <c r="Q14" i="1"/>
  <c r="S14" i="1"/>
  <c r="J15" i="1"/>
  <c r="L15" i="1"/>
  <c r="N15" i="1"/>
  <c r="P15" i="1"/>
  <c r="R15" i="1"/>
  <c r="I16" i="1"/>
  <c r="K16" i="1"/>
  <c r="M16" i="1"/>
  <c r="O16" i="1"/>
  <c r="Q16" i="1"/>
  <c r="S16" i="1"/>
  <c r="J17" i="1"/>
  <c r="L17" i="1"/>
  <c r="N17" i="1"/>
  <c r="P17" i="1"/>
  <c r="R17" i="1"/>
  <c r="I18" i="1"/>
  <c r="K18" i="1"/>
  <c r="M18" i="1"/>
  <c r="O18" i="1"/>
  <c r="Q18" i="1"/>
  <c r="S18" i="1"/>
  <c r="J19" i="1"/>
  <c r="L19" i="1"/>
  <c r="N19" i="1"/>
  <c r="P19" i="1"/>
  <c r="R19" i="1"/>
  <c r="I20" i="1"/>
  <c r="K20" i="1"/>
  <c r="M20" i="1"/>
  <c r="O20" i="1"/>
  <c r="Q20" i="1"/>
  <c r="S20" i="1"/>
  <c r="J21" i="1"/>
  <c r="L21" i="1"/>
  <c r="N21" i="1"/>
  <c r="P21" i="1"/>
  <c r="R21" i="1"/>
  <c r="I22" i="1"/>
  <c r="K22" i="1"/>
  <c r="M22" i="1"/>
  <c r="O22" i="1"/>
  <c r="Q22" i="1"/>
  <c r="S22" i="1"/>
  <c r="J23" i="1"/>
  <c r="L23" i="1"/>
  <c r="N23" i="1"/>
  <c r="P23" i="1"/>
  <c r="R23" i="1"/>
  <c r="I24" i="1"/>
  <c r="K24" i="1"/>
  <c r="M24" i="1"/>
  <c r="O24" i="1"/>
  <c r="Q24" i="1"/>
  <c r="S24" i="1"/>
  <c r="J25" i="1"/>
  <c r="L25" i="1"/>
  <c r="N25" i="1"/>
  <c r="P25" i="1"/>
  <c r="R25" i="1"/>
  <c r="J13" i="75"/>
  <c r="J15" i="75" s="1"/>
  <c r="L13" i="75"/>
  <c r="L15" i="75" s="1"/>
  <c r="N13" i="75"/>
  <c r="N15" i="75" s="1"/>
  <c r="P13" i="75"/>
  <c r="P15" i="75" s="1"/>
  <c r="R13" i="75"/>
  <c r="R15" i="75" s="1"/>
  <c r="I14" i="75"/>
  <c r="I16" i="75" s="1"/>
  <c r="K14" i="75"/>
  <c r="K16" i="75" s="1"/>
  <c r="M14" i="75"/>
  <c r="M16" i="75" s="1"/>
  <c r="O14" i="75"/>
  <c r="O16" i="75" s="1"/>
  <c r="Q14" i="75"/>
  <c r="Q16" i="75" s="1"/>
  <c r="S14" i="75"/>
  <c r="S16" i="75" s="1"/>
  <c r="I13" i="10"/>
  <c r="K13" i="10"/>
  <c r="M13" i="10"/>
  <c r="O13" i="10"/>
  <c r="Q13" i="10"/>
  <c r="S13" i="10"/>
  <c r="J14" i="10"/>
  <c r="L14" i="10"/>
  <c r="N14" i="10"/>
  <c r="P14" i="10"/>
  <c r="R14" i="10"/>
  <c r="I15" i="10"/>
  <c r="K15" i="10"/>
  <c r="M15" i="10"/>
  <c r="O15" i="10"/>
  <c r="Q15" i="10"/>
  <c r="S15" i="10"/>
  <c r="J16" i="10"/>
  <c r="L16" i="10"/>
  <c r="N16" i="10"/>
  <c r="P16" i="10"/>
  <c r="R16" i="10"/>
  <c r="I17" i="10"/>
  <c r="K17" i="10"/>
  <c r="M17" i="10"/>
  <c r="O17" i="10"/>
  <c r="Q17" i="10"/>
  <c r="S17" i="10"/>
  <c r="J18" i="10"/>
  <c r="L18" i="10"/>
  <c r="N18" i="10"/>
  <c r="P18" i="10"/>
  <c r="R18" i="10"/>
  <c r="I19" i="10"/>
  <c r="K19" i="10"/>
  <c r="M19" i="10"/>
  <c r="O19" i="10"/>
  <c r="Q19" i="10"/>
  <c r="S19" i="10"/>
  <c r="J20" i="10"/>
  <c r="L20" i="10"/>
  <c r="N20" i="10"/>
  <c r="P20" i="10"/>
  <c r="R20" i="10"/>
  <c r="I21" i="10"/>
  <c r="K21" i="10"/>
  <c r="M21" i="10"/>
  <c r="O21" i="10"/>
  <c r="Q21" i="10"/>
  <c r="S21" i="10"/>
  <c r="J22" i="10"/>
  <c r="L22" i="10"/>
  <c r="N22" i="10"/>
  <c r="P22" i="10"/>
  <c r="R22" i="10"/>
  <c r="K13" i="11"/>
  <c r="K15" i="11" s="1"/>
  <c r="M13" i="11"/>
  <c r="M15" i="11" s="1"/>
  <c r="O13" i="11"/>
  <c r="O15" i="11" s="1"/>
  <c r="Q13" i="11"/>
  <c r="Q15" i="11" s="1"/>
  <c r="S13" i="11"/>
  <c r="S15" i="11" s="1"/>
  <c r="J14" i="11"/>
  <c r="J16" i="11" s="1"/>
  <c r="L14" i="11"/>
  <c r="L16" i="11" s="1"/>
  <c r="N14" i="11"/>
  <c r="N16" i="11" s="1"/>
  <c r="P14" i="11"/>
  <c r="P16" i="11" s="1"/>
  <c r="R14" i="11"/>
  <c r="R16" i="11" s="1"/>
  <c r="T14" i="11"/>
  <c r="T16" i="11" s="1"/>
  <c r="K17" i="11"/>
  <c r="M17" i="11"/>
  <c r="O17" i="11"/>
  <c r="K18" i="11"/>
  <c r="M18" i="11"/>
  <c r="O18" i="11"/>
  <c r="I13" i="13"/>
  <c r="K13" i="13"/>
  <c r="M13" i="13"/>
  <c r="O13" i="13"/>
  <c r="Q13" i="13"/>
  <c r="S13" i="13"/>
  <c r="J14" i="13"/>
  <c r="L14" i="13"/>
  <c r="N14" i="13"/>
  <c r="P14" i="13"/>
  <c r="R14" i="13"/>
  <c r="J15" i="13"/>
  <c r="L15" i="13"/>
  <c r="N15" i="13"/>
  <c r="P15" i="13"/>
  <c r="R15" i="13"/>
  <c r="I16" i="13"/>
  <c r="K16" i="13"/>
  <c r="M16" i="13"/>
  <c r="O16" i="13"/>
  <c r="Q16" i="13"/>
  <c r="S16" i="13"/>
  <c r="I17" i="13"/>
  <c r="K17" i="13"/>
  <c r="M17" i="13"/>
  <c r="O17" i="13"/>
  <c r="Q17" i="13"/>
  <c r="S17" i="13"/>
  <c r="J18" i="13"/>
  <c r="L18" i="13"/>
  <c r="N18" i="13"/>
  <c r="P18" i="13"/>
  <c r="R18" i="13"/>
  <c r="J19" i="13"/>
  <c r="L19" i="13"/>
  <c r="N19" i="13"/>
  <c r="P19" i="13"/>
  <c r="R19" i="13"/>
  <c r="I20" i="13"/>
  <c r="K20" i="13"/>
  <c r="M20" i="13"/>
  <c r="O20" i="13"/>
  <c r="Q20" i="13"/>
  <c r="S20" i="13"/>
  <c r="I21" i="13"/>
  <c r="K21" i="13"/>
  <c r="M21" i="13"/>
  <c r="O21" i="13"/>
  <c r="Q21" i="13"/>
  <c r="S21" i="13"/>
  <c r="J22" i="13"/>
  <c r="L22" i="13"/>
  <c r="N22" i="13"/>
  <c r="P22" i="13"/>
  <c r="R22" i="13"/>
  <c r="J23" i="13"/>
  <c r="L23" i="13"/>
  <c r="N23" i="13"/>
  <c r="N27" i="13" s="1"/>
  <c r="P23" i="13"/>
  <c r="R23" i="13"/>
  <c r="I24" i="13"/>
  <c r="K24" i="13"/>
  <c r="M24" i="13"/>
  <c r="M28" i="13" s="1"/>
  <c r="O24" i="13"/>
  <c r="O28" i="13" s="1"/>
  <c r="Q24" i="13"/>
  <c r="Q28" i="13" s="1"/>
  <c r="S24" i="13"/>
  <c r="S28" i="13" s="1"/>
  <c r="I25" i="13"/>
  <c r="K25" i="13"/>
  <c r="M25" i="13"/>
  <c r="O25" i="13"/>
  <c r="Q25" i="13"/>
  <c r="Q27" i="13" s="1"/>
  <c r="S25" i="13"/>
  <c r="S27" i="13" s="1"/>
  <c r="J26" i="13"/>
  <c r="L26" i="13"/>
  <c r="N26" i="13"/>
  <c r="P26" i="13"/>
  <c r="R26" i="13"/>
  <c r="I13" i="15"/>
  <c r="K13" i="15"/>
  <c r="M13" i="15"/>
  <c r="O13" i="15"/>
  <c r="Q13" i="15"/>
  <c r="S13" i="15"/>
  <c r="J14" i="15"/>
  <c r="L14" i="15"/>
  <c r="N14" i="15"/>
  <c r="P14" i="15"/>
  <c r="R14" i="15"/>
  <c r="I15" i="15"/>
  <c r="K15" i="15"/>
  <c r="M15" i="15"/>
  <c r="O15" i="15"/>
  <c r="Q15" i="15"/>
  <c r="S15" i="15"/>
  <c r="J16" i="15"/>
  <c r="L16" i="15"/>
  <c r="N16" i="15"/>
  <c r="P16" i="15"/>
  <c r="R16" i="15"/>
  <c r="I17" i="15"/>
  <c r="K17" i="15"/>
  <c r="M17" i="15"/>
  <c r="O17" i="15"/>
  <c r="Q17" i="15"/>
  <c r="S17" i="15"/>
  <c r="J18" i="15"/>
  <c r="L18" i="15"/>
  <c r="N18" i="15"/>
  <c r="P18" i="15"/>
  <c r="R18" i="15"/>
  <c r="I19" i="15"/>
  <c r="K19" i="15"/>
  <c r="M19" i="15"/>
  <c r="O19" i="15"/>
  <c r="Q19" i="15"/>
  <c r="S19" i="15"/>
  <c r="J20" i="15"/>
  <c r="L20" i="15"/>
  <c r="N20" i="15"/>
  <c r="P20" i="15"/>
  <c r="R20" i="15"/>
  <c r="I21" i="15"/>
  <c r="K21" i="15"/>
  <c r="M21" i="15"/>
  <c r="O21" i="15"/>
  <c r="Q21" i="15"/>
  <c r="S21" i="15"/>
  <c r="J22" i="15"/>
  <c r="L22" i="15"/>
  <c r="N22" i="15"/>
  <c r="P22" i="15"/>
  <c r="R22" i="15"/>
  <c r="I13" i="17"/>
  <c r="K13" i="17"/>
  <c r="M13" i="17"/>
  <c r="O13" i="17"/>
  <c r="Q13" i="17"/>
  <c r="S13" i="17"/>
  <c r="J14" i="17"/>
  <c r="L14" i="17"/>
  <c r="N14" i="17"/>
  <c r="P14" i="17"/>
  <c r="R14" i="17"/>
  <c r="J15" i="17"/>
  <c r="L15" i="17"/>
  <c r="N15" i="17"/>
  <c r="P15" i="17"/>
  <c r="R15" i="17"/>
  <c r="I16" i="17"/>
  <c r="K16" i="17"/>
  <c r="M16" i="17"/>
  <c r="O16" i="17"/>
  <c r="Q16" i="17"/>
  <c r="S16" i="17"/>
  <c r="I17" i="17"/>
  <c r="K17" i="17"/>
  <c r="M17" i="17"/>
  <c r="O17" i="17"/>
  <c r="Q17" i="17"/>
  <c r="S17" i="17"/>
  <c r="J18" i="17"/>
  <c r="L18" i="17"/>
  <c r="N18" i="17"/>
  <c r="P18" i="17"/>
  <c r="R18" i="17"/>
  <c r="J19" i="17"/>
  <c r="L19" i="17"/>
  <c r="N19" i="17"/>
  <c r="P19" i="17"/>
  <c r="R19" i="17"/>
  <c r="I20" i="17"/>
  <c r="K20" i="17"/>
  <c r="M20" i="17"/>
  <c r="O20" i="17"/>
  <c r="Q20" i="17"/>
  <c r="S20" i="17"/>
  <c r="J23" i="17"/>
  <c r="L23" i="17"/>
  <c r="N23" i="17"/>
  <c r="P23" i="17"/>
  <c r="R23" i="17"/>
  <c r="I24" i="17"/>
  <c r="K24" i="17"/>
  <c r="M24" i="17"/>
  <c r="O24" i="17"/>
  <c r="Q24" i="17"/>
  <c r="S24" i="17"/>
  <c r="J25" i="17"/>
  <c r="L25" i="17"/>
  <c r="N25" i="17"/>
  <c r="P25" i="17"/>
  <c r="R25" i="17"/>
  <c r="I26" i="17"/>
  <c r="K26" i="17"/>
  <c r="M26" i="17"/>
  <c r="O26" i="17"/>
  <c r="Q26" i="17"/>
  <c r="S26" i="17"/>
  <c r="I27" i="17"/>
  <c r="K27" i="17"/>
  <c r="M27" i="17"/>
  <c r="O27" i="17"/>
  <c r="Q27" i="17"/>
  <c r="S27" i="17"/>
  <c r="J28" i="17"/>
  <c r="L28" i="17"/>
  <c r="N28" i="17"/>
  <c r="P28" i="17"/>
  <c r="R28" i="17"/>
  <c r="J29" i="17"/>
  <c r="L29" i="17"/>
  <c r="N29" i="17"/>
  <c r="P29" i="17"/>
  <c r="R29" i="17"/>
  <c r="I30" i="17"/>
  <c r="K30" i="17"/>
  <c r="M30" i="17"/>
  <c r="O30" i="17"/>
  <c r="Q30" i="17"/>
  <c r="S30" i="17"/>
  <c r="I31" i="17"/>
  <c r="K31" i="17"/>
  <c r="M31" i="17"/>
  <c r="O31" i="17"/>
  <c r="Q31" i="17"/>
  <c r="S31" i="17"/>
  <c r="J32" i="17"/>
  <c r="L32" i="17"/>
  <c r="N32" i="17"/>
  <c r="P32" i="17"/>
  <c r="R32" i="17"/>
  <c r="J33" i="17"/>
  <c r="L33" i="17"/>
  <c r="N33" i="17"/>
  <c r="P33" i="17"/>
  <c r="R33" i="17"/>
  <c r="I34" i="17"/>
  <c r="K34" i="17"/>
  <c r="M34" i="17"/>
  <c r="O34" i="17"/>
  <c r="Q34" i="17"/>
  <c r="S34" i="17"/>
  <c r="I35" i="17"/>
  <c r="K35" i="17"/>
  <c r="M35" i="17"/>
  <c r="O35" i="17"/>
  <c r="Q35" i="17"/>
  <c r="S35" i="17"/>
  <c r="J36" i="17"/>
  <c r="L36" i="17"/>
  <c r="N36" i="17"/>
  <c r="P36" i="17"/>
  <c r="R36" i="17"/>
  <c r="I12" i="19"/>
  <c r="K12" i="19"/>
  <c r="M12" i="19"/>
  <c r="O12" i="19"/>
  <c r="Q12" i="19"/>
  <c r="S12" i="19"/>
  <c r="J13" i="19"/>
  <c r="L13" i="19"/>
  <c r="N13" i="19"/>
  <c r="P13" i="19"/>
  <c r="R13" i="19"/>
  <c r="J14" i="19"/>
  <c r="L14" i="19"/>
  <c r="N14" i="19"/>
  <c r="P14" i="19"/>
  <c r="R14" i="19"/>
  <c r="I15" i="19"/>
  <c r="K15" i="19"/>
  <c r="M15" i="19"/>
  <c r="O15" i="19"/>
  <c r="Q15" i="19"/>
  <c r="S15" i="19"/>
  <c r="I16" i="19"/>
  <c r="K16" i="19"/>
  <c r="M16" i="19"/>
  <c r="O16" i="19"/>
  <c r="Q16" i="19"/>
  <c r="S16" i="19"/>
  <c r="J17" i="19"/>
  <c r="L17" i="19"/>
  <c r="N17" i="19"/>
  <c r="P17" i="19"/>
  <c r="R17" i="19"/>
  <c r="J18" i="19"/>
  <c r="L18" i="19"/>
  <c r="N18" i="19"/>
  <c r="P18" i="19"/>
  <c r="R18" i="19"/>
  <c r="I19" i="19"/>
  <c r="K19" i="19"/>
  <c r="M19" i="19"/>
  <c r="O19" i="19"/>
  <c r="Q19" i="19"/>
  <c r="S19" i="19"/>
  <c r="I20" i="19"/>
  <c r="K20" i="19"/>
  <c r="M20" i="19"/>
  <c r="O20" i="19"/>
  <c r="Q20" i="19"/>
  <c r="S20" i="19"/>
  <c r="J21" i="19"/>
  <c r="L21" i="19"/>
  <c r="N21" i="19"/>
  <c r="P21" i="19"/>
  <c r="R21" i="19"/>
  <c r="J22" i="19"/>
  <c r="L22" i="19"/>
  <c r="N22" i="19"/>
  <c r="P22" i="19"/>
  <c r="R22" i="19"/>
  <c r="I23" i="19"/>
  <c r="K23" i="19"/>
  <c r="M23" i="19"/>
  <c r="O23" i="19"/>
  <c r="Q23" i="19"/>
  <c r="S23" i="19"/>
  <c r="I24" i="19"/>
  <c r="K24" i="19"/>
  <c r="M24" i="19"/>
  <c r="O24" i="19"/>
  <c r="Q24" i="19"/>
  <c r="S24" i="19"/>
  <c r="J25" i="19"/>
  <c r="L25" i="19"/>
  <c r="N25" i="19"/>
  <c r="P25" i="19"/>
  <c r="R25" i="19"/>
  <c r="J26" i="19"/>
  <c r="L26" i="19"/>
  <c r="N26" i="19"/>
  <c r="P26" i="19"/>
  <c r="R26" i="19"/>
  <c r="I27" i="19"/>
  <c r="K27" i="19"/>
  <c r="M27" i="19"/>
  <c r="O27" i="19"/>
  <c r="Q27" i="19"/>
  <c r="S27" i="19"/>
  <c r="I28" i="19"/>
  <c r="K28" i="19"/>
  <c r="M28" i="19"/>
  <c r="O28" i="19"/>
  <c r="Q28" i="19"/>
  <c r="S28" i="19"/>
  <c r="J29" i="19"/>
  <c r="L29" i="19"/>
  <c r="N29" i="19"/>
  <c r="P29" i="19"/>
  <c r="R29" i="19"/>
  <c r="J30" i="19"/>
  <c r="L30" i="19"/>
  <c r="N30" i="19"/>
  <c r="P30" i="19"/>
  <c r="R30" i="19"/>
  <c r="I31" i="19"/>
  <c r="K31" i="19"/>
  <c r="M31" i="19"/>
  <c r="O31" i="19"/>
  <c r="Q31" i="19"/>
  <c r="S31" i="19"/>
  <c r="J36" i="19"/>
  <c r="L36" i="19"/>
  <c r="N36" i="19"/>
  <c r="P36" i="19"/>
  <c r="R36" i="19"/>
  <c r="I37" i="19"/>
  <c r="K37" i="19"/>
  <c r="M37" i="19"/>
  <c r="O37" i="19"/>
  <c r="Q37" i="19"/>
  <c r="S37" i="19"/>
  <c r="I38" i="19"/>
  <c r="K38" i="19"/>
  <c r="M38" i="19"/>
  <c r="O38" i="19"/>
  <c r="Q38" i="19"/>
  <c r="S38" i="19"/>
  <c r="J39" i="19"/>
  <c r="L39" i="19"/>
  <c r="N39" i="19"/>
  <c r="P39" i="19"/>
  <c r="R39" i="19"/>
  <c r="I42" i="19"/>
  <c r="K42" i="19"/>
  <c r="M42" i="19"/>
  <c r="O42" i="19"/>
  <c r="Q42" i="19"/>
  <c r="S42" i="19"/>
  <c r="J43" i="19"/>
  <c r="L43" i="19"/>
  <c r="N43" i="19"/>
  <c r="P43" i="19"/>
  <c r="R43" i="19"/>
  <c r="J26" i="21"/>
  <c r="J28" i="21" s="1"/>
  <c r="L26" i="21"/>
  <c r="L28" i="21" s="1"/>
  <c r="N26" i="21"/>
  <c r="N28" i="21" s="1"/>
  <c r="P26" i="21"/>
  <c r="P28" i="21" s="1"/>
  <c r="J29" i="21"/>
  <c r="L29" i="21"/>
  <c r="N29" i="21"/>
  <c r="P29" i="21"/>
  <c r="R29" i="21"/>
  <c r="H30" i="21"/>
  <c r="H31" i="21" s="1"/>
  <c r="J30" i="21"/>
  <c r="L30" i="21"/>
  <c r="N30" i="21"/>
  <c r="P30" i="21"/>
  <c r="R30" i="21"/>
  <c r="J13" i="23"/>
  <c r="L13" i="23"/>
  <c r="N13" i="23"/>
  <c r="P13" i="23"/>
  <c r="R13" i="23"/>
  <c r="I14" i="23"/>
  <c r="K14" i="23"/>
  <c r="M14" i="23"/>
  <c r="O14" i="23"/>
  <c r="Q14" i="23"/>
  <c r="S14" i="23"/>
  <c r="J15" i="23"/>
  <c r="L15" i="23"/>
  <c r="N15" i="23"/>
  <c r="P15" i="23"/>
  <c r="R15" i="23"/>
  <c r="I16" i="23"/>
  <c r="K16" i="23"/>
  <c r="M16" i="23"/>
  <c r="O16" i="23"/>
  <c r="Q16" i="23"/>
  <c r="S16" i="23"/>
  <c r="J17" i="23"/>
  <c r="L17" i="23"/>
  <c r="N17" i="23"/>
  <c r="P17" i="23"/>
  <c r="R17" i="23"/>
  <c r="I18" i="23"/>
  <c r="K18" i="23"/>
  <c r="M18" i="23"/>
  <c r="O18" i="23"/>
  <c r="Q18" i="23"/>
  <c r="S18" i="23"/>
  <c r="I19" i="23"/>
  <c r="K19" i="23"/>
  <c r="M19" i="23"/>
  <c r="O19" i="23"/>
  <c r="Q19" i="23"/>
  <c r="S19" i="23"/>
  <c r="J20" i="23"/>
  <c r="L20" i="23"/>
  <c r="N20" i="23"/>
  <c r="P20" i="23"/>
  <c r="R20" i="23"/>
  <c r="I21" i="23"/>
  <c r="K21" i="23"/>
  <c r="M21" i="23"/>
  <c r="O21" i="23"/>
  <c r="Q21" i="23"/>
  <c r="S21" i="23"/>
  <c r="J22" i="23"/>
  <c r="L22" i="23"/>
  <c r="N22" i="23"/>
  <c r="P22" i="23"/>
  <c r="R22" i="23"/>
  <c r="J23" i="23"/>
  <c r="L23" i="23"/>
  <c r="N23" i="23"/>
  <c r="P23" i="23"/>
  <c r="R23" i="23"/>
  <c r="I24" i="23"/>
  <c r="K24" i="23"/>
  <c r="M24" i="23"/>
  <c r="O24" i="23"/>
  <c r="Q24" i="23"/>
  <c r="S24" i="23"/>
  <c r="J27" i="23"/>
  <c r="L27" i="23"/>
  <c r="N27" i="23"/>
  <c r="P27" i="23"/>
  <c r="R27" i="23"/>
  <c r="I28" i="23"/>
  <c r="K28" i="23"/>
  <c r="M28" i="23"/>
  <c r="O28" i="23"/>
  <c r="Q28" i="23"/>
  <c r="S28" i="23"/>
  <c r="I29" i="23"/>
  <c r="K29" i="23"/>
  <c r="M29" i="23"/>
  <c r="O29" i="23"/>
  <c r="Q29" i="23"/>
  <c r="S29" i="23"/>
  <c r="J30" i="23"/>
  <c r="L30" i="23"/>
  <c r="N30" i="23"/>
  <c r="P30" i="23"/>
  <c r="R30" i="23"/>
  <c r="I33" i="23"/>
  <c r="K33" i="23"/>
  <c r="M33" i="23"/>
  <c r="O33" i="23"/>
  <c r="Q33" i="23"/>
  <c r="S33" i="23"/>
  <c r="J34" i="23"/>
  <c r="L34" i="23"/>
  <c r="N34" i="23"/>
  <c r="P34" i="23"/>
  <c r="R34" i="23"/>
  <c r="J37" i="23"/>
  <c r="L37" i="23"/>
  <c r="N37" i="23"/>
  <c r="P37" i="23"/>
  <c r="R37" i="23"/>
  <c r="I38" i="23"/>
  <c r="K38" i="23"/>
  <c r="M38" i="23"/>
  <c r="O38" i="23"/>
  <c r="Q38" i="23"/>
  <c r="S38" i="23"/>
  <c r="J39" i="23"/>
  <c r="L39" i="23"/>
  <c r="N39" i="23"/>
  <c r="P39" i="23"/>
  <c r="R39" i="23"/>
  <c r="I40" i="23"/>
  <c r="K40" i="23"/>
  <c r="M40" i="23"/>
  <c r="O40" i="23"/>
  <c r="Q40" i="23"/>
  <c r="S40" i="23"/>
  <c r="I41" i="23"/>
  <c r="K41" i="23"/>
  <c r="M41" i="23"/>
  <c r="O41" i="23"/>
  <c r="Q41" i="23"/>
  <c r="S41" i="23"/>
  <c r="J42" i="23"/>
  <c r="L42" i="23"/>
  <c r="N42" i="23"/>
  <c r="P42" i="23"/>
  <c r="R42" i="23"/>
  <c r="I13" i="25"/>
  <c r="K13" i="25"/>
  <c r="M13" i="25"/>
  <c r="O13" i="25"/>
  <c r="Q13" i="25"/>
  <c r="S13" i="25"/>
  <c r="J14" i="25"/>
  <c r="L14" i="25"/>
  <c r="N14" i="25"/>
  <c r="P14" i="25"/>
  <c r="R14" i="25"/>
  <c r="J15" i="25"/>
  <c r="L15" i="25"/>
  <c r="N15" i="25"/>
  <c r="P15" i="25"/>
  <c r="R15" i="25"/>
  <c r="I16" i="25"/>
  <c r="K16" i="25"/>
  <c r="M16" i="25"/>
  <c r="O16" i="25"/>
  <c r="Q16" i="25"/>
  <c r="S16" i="25"/>
  <c r="I17" i="25"/>
  <c r="K17" i="25"/>
  <c r="M17" i="25"/>
  <c r="O17" i="25"/>
  <c r="Q17" i="25"/>
  <c r="S17" i="25"/>
  <c r="J18" i="25"/>
  <c r="L18" i="25"/>
  <c r="N18" i="25"/>
  <c r="P18" i="25"/>
  <c r="R18" i="25"/>
  <c r="J19" i="25"/>
  <c r="L19" i="25"/>
  <c r="N19" i="25"/>
  <c r="P19" i="25"/>
  <c r="R19" i="25"/>
  <c r="I20" i="25"/>
  <c r="K20" i="25"/>
  <c r="M20" i="25"/>
  <c r="O20" i="25"/>
  <c r="Q20" i="25"/>
  <c r="S20" i="25"/>
  <c r="I21" i="25"/>
  <c r="K21" i="25"/>
  <c r="M21" i="25"/>
  <c r="O21" i="25"/>
  <c r="Q21" i="25"/>
  <c r="S21" i="25"/>
  <c r="J22" i="25"/>
  <c r="L22" i="25"/>
  <c r="N22" i="25"/>
  <c r="P22" i="25"/>
  <c r="R22" i="25"/>
  <c r="J23" i="25"/>
  <c r="L23" i="25"/>
  <c r="N23" i="25"/>
  <c r="P23" i="25"/>
  <c r="R23" i="25"/>
  <c r="I24" i="25"/>
  <c r="K24" i="25"/>
  <c r="M24" i="25"/>
  <c r="O24" i="25"/>
  <c r="Q24" i="25"/>
  <c r="S24" i="25"/>
  <c r="I25" i="25"/>
  <c r="K25" i="25"/>
  <c r="M25" i="25"/>
  <c r="O25" i="25"/>
  <c r="Q25" i="25"/>
  <c r="S25" i="25"/>
  <c r="J26" i="25"/>
  <c r="L26" i="25"/>
  <c r="N26" i="25"/>
  <c r="P26" i="25"/>
  <c r="R26" i="25"/>
  <c r="J29" i="25"/>
  <c r="L29" i="25"/>
  <c r="N29" i="25"/>
  <c r="P29" i="25"/>
  <c r="R29" i="25"/>
  <c r="I30" i="25"/>
  <c r="K30" i="25"/>
  <c r="M30" i="25"/>
  <c r="O30" i="25"/>
  <c r="Q30" i="25"/>
  <c r="S30" i="25"/>
  <c r="I33" i="25"/>
  <c r="K33" i="25"/>
  <c r="M33" i="25"/>
  <c r="O33" i="25"/>
  <c r="Q33" i="25"/>
  <c r="S33" i="25"/>
  <c r="J34" i="25"/>
  <c r="L34" i="25"/>
  <c r="N34" i="25"/>
  <c r="P34" i="25"/>
  <c r="R34" i="25"/>
  <c r="J35" i="25"/>
  <c r="L35" i="25"/>
  <c r="N35" i="25"/>
  <c r="P35" i="25"/>
  <c r="R35" i="25"/>
  <c r="R37" i="25" s="1"/>
  <c r="I36" i="25"/>
  <c r="I38" i="25" s="1"/>
  <c r="K36" i="25"/>
  <c r="M36" i="25"/>
  <c r="O36" i="25"/>
  <c r="Q36" i="25"/>
  <c r="S36" i="25"/>
  <c r="I13" i="27"/>
  <c r="K13" i="27"/>
  <c r="M13" i="27"/>
  <c r="O13" i="27"/>
  <c r="Q13" i="27"/>
  <c r="S13" i="27"/>
  <c r="J14" i="27"/>
  <c r="L14" i="27"/>
  <c r="N14" i="27"/>
  <c r="P14" i="27"/>
  <c r="R14" i="27"/>
  <c r="I15" i="27"/>
  <c r="K15" i="27"/>
  <c r="M15" i="27"/>
  <c r="O15" i="27"/>
  <c r="Q15" i="27"/>
  <c r="S15" i="27"/>
  <c r="J16" i="27"/>
  <c r="L16" i="27"/>
  <c r="N16" i="27"/>
  <c r="P16" i="27"/>
  <c r="R16" i="27"/>
  <c r="I17" i="27"/>
  <c r="K17" i="27"/>
  <c r="M17" i="27"/>
  <c r="O17" i="27"/>
  <c r="Q17" i="27"/>
  <c r="S17" i="27"/>
  <c r="J18" i="27"/>
  <c r="L18" i="27"/>
  <c r="N18" i="27"/>
  <c r="P18" i="27"/>
  <c r="R18" i="27"/>
  <c r="I19" i="27"/>
  <c r="K19" i="27"/>
  <c r="M19" i="27"/>
  <c r="O19" i="27"/>
  <c r="Q19" i="27"/>
  <c r="S19" i="27"/>
  <c r="J20" i="27"/>
  <c r="L20" i="27"/>
  <c r="N20" i="27"/>
  <c r="P20" i="27"/>
  <c r="R20" i="27"/>
  <c r="I21" i="27"/>
  <c r="K21" i="27"/>
  <c r="M21" i="27"/>
  <c r="O21" i="27"/>
  <c r="Q21" i="27"/>
  <c r="S21" i="27"/>
  <c r="J22" i="27"/>
  <c r="L22" i="27"/>
  <c r="N22" i="27"/>
  <c r="P22" i="27"/>
  <c r="R22" i="27"/>
  <c r="J17" i="29"/>
  <c r="L17" i="29"/>
  <c r="N17" i="29"/>
  <c r="P17" i="29"/>
  <c r="R17" i="29"/>
  <c r="I18" i="29"/>
  <c r="K18" i="29"/>
  <c r="M18" i="29"/>
  <c r="O18" i="29"/>
  <c r="Q18" i="29"/>
  <c r="S18" i="29"/>
  <c r="I19" i="29"/>
  <c r="K19" i="29"/>
  <c r="K21" i="29" s="1"/>
  <c r="M19" i="29"/>
  <c r="M21" i="29" s="1"/>
  <c r="O19" i="29"/>
  <c r="O21" i="29" s="1"/>
  <c r="Q19" i="29"/>
  <c r="S19" i="29"/>
  <c r="J20" i="29"/>
  <c r="J22" i="29" s="1"/>
  <c r="L20" i="29"/>
  <c r="L22" i="29" s="1"/>
  <c r="N20" i="29"/>
  <c r="N22" i="29" s="1"/>
  <c r="P20" i="29"/>
  <c r="R20" i="29"/>
  <c r="J24" i="29"/>
  <c r="L24" i="29"/>
  <c r="N24" i="29"/>
  <c r="P24" i="29"/>
  <c r="R24" i="29"/>
  <c r="J14" i="31"/>
  <c r="L14" i="31"/>
  <c r="N14" i="31"/>
  <c r="P14" i="31"/>
  <c r="R14" i="31"/>
  <c r="I15" i="31"/>
  <c r="K15" i="31"/>
  <c r="M15" i="31"/>
  <c r="O15" i="31"/>
  <c r="Q15" i="31"/>
  <c r="S15" i="31"/>
  <c r="I16" i="31"/>
  <c r="K16" i="31"/>
  <c r="M16" i="31"/>
  <c r="O16" i="31"/>
  <c r="Q16" i="31"/>
  <c r="S16" i="31"/>
  <c r="J17" i="31"/>
  <c r="L17" i="31"/>
  <c r="N17" i="31"/>
  <c r="P17" i="31"/>
  <c r="R17" i="31"/>
  <c r="J18" i="31"/>
  <c r="L18" i="31"/>
  <c r="N18" i="31"/>
  <c r="P18" i="31"/>
  <c r="R18" i="31"/>
  <c r="I19" i="31"/>
  <c r="K19" i="31"/>
  <c r="M19" i="31"/>
  <c r="Q19" i="31"/>
  <c r="I20" i="31"/>
  <c r="M20" i="31"/>
  <c r="Q20" i="31"/>
  <c r="J21" i="31"/>
  <c r="N21" i="31"/>
  <c r="R21" i="31"/>
  <c r="J22" i="31"/>
  <c r="N22" i="31"/>
  <c r="R22" i="31"/>
  <c r="K23" i="31"/>
  <c r="O23" i="31"/>
  <c r="S23" i="31"/>
  <c r="K24" i="31"/>
  <c r="O24" i="31"/>
  <c r="S24" i="31"/>
  <c r="L25" i="31"/>
  <c r="P25" i="31"/>
  <c r="L26" i="31"/>
  <c r="P26" i="31"/>
  <c r="I27" i="31"/>
  <c r="M27" i="31"/>
  <c r="Q27" i="31"/>
  <c r="I28" i="31"/>
  <c r="M28" i="31"/>
  <c r="Q28" i="31"/>
  <c r="J29" i="31"/>
  <c r="N29" i="31"/>
  <c r="R29" i="31"/>
  <c r="J30" i="31"/>
  <c r="N30" i="31"/>
  <c r="R30" i="31"/>
  <c r="K31" i="31"/>
  <c r="O31" i="31"/>
  <c r="S31" i="31"/>
  <c r="K32" i="31"/>
  <c r="O32" i="31"/>
  <c r="S32" i="31"/>
  <c r="L33" i="31"/>
  <c r="P33" i="31"/>
  <c r="L34" i="31"/>
  <c r="P34" i="31"/>
  <c r="I35" i="31"/>
  <c r="M35" i="31"/>
  <c r="Q35" i="31"/>
  <c r="I36" i="31"/>
  <c r="M36" i="31"/>
  <c r="Q36" i="31"/>
  <c r="J37" i="31"/>
  <c r="N37" i="31"/>
  <c r="R37" i="31"/>
  <c r="J38" i="31"/>
  <c r="N38" i="31"/>
  <c r="R38" i="31"/>
  <c r="K39" i="31"/>
  <c r="O39" i="31"/>
  <c r="S39" i="31"/>
  <c r="K40" i="31"/>
  <c r="O40" i="31"/>
  <c r="S40" i="31"/>
  <c r="L41" i="31"/>
  <c r="P41" i="31"/>
  <c r="L42" i="31"/>
  <c r="P42" i="31"/>
  <c r="I43" i="31"/>
  <c r="M43" i="31"/>
  <c r="Q43" i="31"/>
  <c r="I44" i="31"/>
  <c r="M44" i="31"/>
  <c r="Q44" i="31"/>
  <c r="J45" i="31"/>
  <c r="N45" i="31"/>
  <c r="R45" i="31"/>
  <c r="K48" i="31"/>
  <c r="O48" i="31"/>
  <c r="S48" i="31"/>
  <c r="L49" i="31"/>
  <c r="P49" i="31"/>
  <c r="I50" i="31"/>
  <c r="M50" i="31"/>
  <c r="Q50" i="31"/>
  <c r="J51" i="31"/>
  <c r="N51" i="31"/>
  <c r="R51" i="31"/>
  <c r="K52" i="31"/>
  <c r="O52" i="31"/>
  <c r="S52" i="31"/>
  <c r="L53" i="31"/>
  <c r="P53" i="31"/>
  <c r="I54" i="31"/>
  <c r="M54" i="31"/>
  <c r="Q54" i="31"/>
  <c r="J55" i="31"/>
  <c r="N55" i="31"/>
  <c r="R55" i="31"/>
  <c r="K56" i="31"/>
  <c r="O56" i="31"/>
  <c r="S56" i="31"/>
  <c r="L57" i="31"/>
  <c r="P57" i="31"/>
  <c r="I58" i="31"/>
  <c r="M58" i="31"/>
  <c r="Q58" i="31"/>
  <c r="J59" i="31"/>
  <c r="N59" i="31"/>
  <c r="R59" i="31"/>
  <c r="K60" i="31"/>
  <c r="O60" i="31"/>
  <c r="S60" i="31"/>
  <c r="L61" i="31"/>
  <c r="P61" i="31"/>
  <c r="I62" i="31"/>
  <c r="M62" i="31"/>
  <c r="Q62" i="31"/>
  <c r="J63" i="31"/>
  <c r="N63" i="31"/>
  <c r="R63" i="31"/>
  <c r="K64" i="31"/>
  <c r="O64" i="31"/>
  <c r="S64" i="31"/>
  <c r="L65" i="31"/>
  <c r="P65" i="31"/>
  <c r="I66" i="31"/>
  <c r="M66" i="31"/>
  <c r="Q66" i="31"/>
  <c r="J67" i="31"/>
  <c r="N67" i="31"/>
  <c r="R67" i="31"/>
  <c r="K68" i="31"/>
  <c r="O68" i="31"/>
  <c r="S68" i="31"/>
  <c r="L69" i="31"/>
  <c r="P69" i="31"/>
  <c r="I70" i="31"/>
  <c r="M70" i="31"/>
  <c r="Q70" i="31"/>
  <c r="J71" i="31"/>
  <c r="N71" i="31"/>
  <c r="R71" i="31"/>
  <c r="J74" i="31"/>
  <c r="N74" i="31"/>
  <c r="R74" i="31"/>
  <c r="K75" i="31"/>
  <c r="O75" i="31"/>
  <c r="S75" i="31"/>
  <c r="K76" i="31"/>
  <c r="O76" i="31"/>
  <c r="S76" i="31"/>
  <c r="L77" i="31"/>
  <c r="P77" i="31"/>
  <c r="L13" i="33"/>
  <c r="L15" i="33" s="1"/>
  <c r="P13" i="33"/>
  <c r="P15" i="33" s="1"/>
  <c r="I14" i="33"/>
  <c r="I16" i="33" s="1"/>
  <c r="M14" i="33"/>
  <c r="M16" i="33" s="1"/>
  <c r="Q14" i="33"/>
  <c r="Q16" i="33" s="1"/>
  <c r="I15" i="35"/>
  <c r="M15" i="35"/>
  <c r="Q15" i="35"/>
  <c r="J16" i="35"/>
  <c r="N16" i="35"/>
  <c r="R16" i="35"/>
  <c r="J17" i="35"/>
  <c r="N17" i="35"/>
  <c r="R17" i="35"/>
  <c r="K18" i="35"/>
  <c r="O18" i="35"/>
  <c r="S18" i="35"/>
  <c r="K19" i="35"/>
  <c r="O19" i="35"/>
  <c r="S19" i="35"/>
  <c r="L20" i="35"/>
  <c r="P20" i="35"/>
  <c r="L21" i="35"/>
  <c r="P21" i="35"/>
  <c r="I22" i="35"/>
  <c r="M22" i="35"/>
  <c r="Q22" i="35"/>
  <c r="I23" i="35"/>
  <c r="M23" i="35"/>
  <c r="Q23" i="35"/>
  <c r="J24" i="35"/>
  <c r="N24" i="35"/>
  <c r="R24" i="35"/>
  <c r="J25" i="35"/>
  <c r="N25" i="35"/>
  <c r="R25" i="35"/>
  <c r="K26" i="35"/>
  <c r="O26" i="35"/>
  <c r="S26" i="35"/>
  <c r="K27" i="35"/>
  <c r="O27" i="35"/>
  <c r="S27" i="35"/>
  <c r="L28" i="35"/>
  <c r="P28" i="35"/>
  <c r="L29" i="35"/>
  <c r="P29" i="35"/>
  <c r="I30" i="35"/>
  <c r="M30" i="35"/>
  <c r="Q30" i="35"/>
  <c r="I31" i="35"/>
  <c r="M31" i="35"/>
  <c r="Q31" i="35"/>
  <c r="J32" i="35"/>
  <c r="N32" i="35"/>
  <c r="R32" i="35"/>
  <c r="L13" i="37"/>
  <c r="P13" i="37"/>
  <c r="I14" i="37"/>
  <c r="M14" i="37"/>
  <c r="Q14" i="37"/>
  <c r="J15" i="37"/>
  <c r="N15" i="37"/>
  <c r="R15" i="37"/>
  <c r="K16" i="37"/>
  <c r="O16" i="37"/>
  <c r="S16" i="37"/>
  <c r="L17" i="37"/>
  <c r="P17" i="37"/>
  <c r="I18" i="37"/>
  <c r="M18" i="37"/>
  <c r="Q18" i="37"/>
  <c r="J19" i="37"/>
  <c r="N19" i="37"/>
  <c r="R19" i="37"/>
  <c r="K20" i="37"/>
  <c r="O20" i="37"/>
  <c r="S20" i="37"/>
  <c r="L21" i="37"/>
  <c r="P21" i="37"/>
  <c r="I22" i="37"/>
  <c r="M22" i="37"/>
  <c r="Q22" i="37"/>
  <c r="J23" i="37"/>
  <c r="N23" i="37"/>
  <c r="R23" i="37"/>
  <c r="K24" i="37"/>
  <c r="O24" i="37"/>
  <c r="S24" i="37"/>
  <c r="K25" i="37"/>
  <c r="O25" i="37"/>
  <c r="S25" i="37"/>
  <c r="L26" i="37"/>
  <c r="P26" i="37"/>
  <c r="J13" i="39"/>
  <c r="N13" i="39"/>
  <c r="R13" i="39"/>
  <c r="K14" i="39"/>
  <c r="O14" i="39"/>
  <c r="O22" i="39" s="1"/>
  <c r="S14" i="39"/>
  <c r="S22" i="39" s="1"/>
  <c r="L15" i="39"/>
  <c r="L21" i="39" s="1"/>
  <c r="P15" i="39"/>
  <c r="P21" i="39" s="1"/>
  <c r="I16" i="39"/>
  <c r="I22" i="39" s="1"/>
  <c r="M16" i="39"/>
  <c r="Q16" i="39"/>
  <c r="K13" i="41"/>
  <c r="O13" i="41"/>
  <c r="S13" i="41"/>
  <c r="S17" i="41" s="1"/>
  <c r="L14" i="41"/>
  <c r="P14" i="41"/>
  <c r="P18" i="41" s="1"/>
  <c r="L15" i="41"/>
  <c r="P15" i="41"/>
  <c r="I16" i="41"/>
  <c r="I18" i="41" s="1"/>
  <c r="M16" i="41"/>
  <c r="Q16" i="41"/>
  <c r="Q18" i="41" s="1"/>
  <c r="L13" i="43"/>
  <c r="P13" i="43"/>
  <c r="I14" i="43"/>
  <c r="M14" i="43"/>
  <c r="Q14" i="43"/>
  <c r="J15" i="43"/>
  <c r="N15" i="43"/>
  <c r="R15" i="43"/>
  <c r="K16" i="43"/>
  <c r="O16" i="43"/>
  <c r="S16" i="43"/>
  <c r="L17" i="43"/>
  <c r="P17" i="43"/>
  <c r="I18" i="43"/>
  <c r="M18" i="43"/>
  <c r="Q18" i="43"/>
  <c r="J19" i="43"/>
  <c r="N19" i="43"/>
  <c r="R19" i="43"/>
  <c r="K20" i="43"/>
  <c r="O20" i="43"/>
  <c r="S20" i="43"/>
  <c r="L13" i="45"/>
  <c r="P13" i="45"/>
  <c r="I14" i="45"/>
  <c r="M14" i="45"/>
  <c r="Q14" i="45"/>
  <c r="J15" i="45"/>
  <c r="N15" i="45"/>
  <c r="R15" i="45"/>
  <c r="K16" i="45"/>
  <c r="O16" i="45"/>
  <c r="S16" i="45"/>
  <c r="L17" i="45"/>
  <c r="P17" i="45"/>
  <c r="I18" i="45"/>
  <c r="M18" i="45"/>
  <c r="Q18" i="45"/>
  <c r="J19" i="45"/>
  <c r="N19" i="45"/>
  <c r="R19" i="45"/>
  <c r="K20" i="45"/>
  <c r="O20" i="45"/>
  <c r="S20" i="45"/>
  <c r="L21" i="45"/>
  <c r="P21" i="45"/>
  <c r="I22" i="45"/>
  <c r="M22" i="45"/>
  <c r="Q22" i="45"/>
  <c r="J23" i="45"/>
  <c r="N23" i="45"/>
  <c r="R23" i="45"/>
  <c r="K24" i="45"/>
  <c r="O24" i="45"/>
  <c r="S24" i="45"/>
  <c r="L25" i="45"/>
  <c r="P25" i="45"/>
  <c r="I26" i="45"/>
  <c r="M26" i="45"/>
  <c r="Q26" i="45"/>
  <c r="J27" i="45"/>
  <c r="N27" i="45"/>
  <c r="R27" i="45"/>
  <c r="K28" i="45"/>
  <c r="O28" i="45"/>
  <c r="S28" i="45"/>
  <c r="L29" i="45"/>
  <c r="P29" i="45"/>
  <c r="I30" i="45"/>
  <c r="M30" i="45"/>
  <c r="Q30" i="45"/>
  <c r="J31" i="45"/>
  <c r="N31" i="45"/>
  <c r="R31" i="45"/>
  <c r="K32" i="45"/>
  <c r="O32" i="45"/>
  <c r="S32" i="45"/>
  <c r="J35" i="45"/>
  <c r="N35" i="45"/>
  <c r="R35" i="45"/>
  <c r="K36" i="45"/>
  <c r="O36" i="45"/>
  <c r="S36" i="45"/>
  <c r="L37" i="45"/>
  <c r="P37" i="45"/>
  <c r="I38" i="45"/>
  <c r="M38" i="45"/>
  <c r="Q38" i="45"/>
  <c r="J39" i="45"/>
  <c r="N39" i="45"/>
  <c r="R39" i="45"/>
  <c r="K40" i="45"/>
  <c r="O40" i="45"/>
  <c r="S40" i="45"/>
  <c r="L41" i="45"/>
  <c r="P41" i="45"/>
  <c r="I42" i="45"/>
  <c r="M42" i="45"/>
  <c r="Q42" i="45"/>
  <c r="J43" i="45"/>
  <c r="N43" i="45"/>
  <c r="R43" i="45"/>
  <c r="K44" i="45"/>
  <c r="O44" i="45"/>
  <c r="S44" i="45"/>
  <c r="L45" i="45"/>
  <c r="P45" i="45"/>
  <c r="I46" i="45"/>
  <c r="M46" i="45"/>
  <c r="Q46" i="45"/>
  <c r="J47" i="45"/>
  <c r="N47" i="45"/>
  <c r="R47" i="45"/>
  <c r="K48" i="45"/>
  <c r="O48" i="45"/>
  <c r="S48" i="45"/>
  <c r="L49" i="45"/>
  <c r="P49" i="45"/>
  <c r="I50" i="45"/>
  <c r="M50" i="45"/>
  <c r="Q50" i="45"/>
  <c r="J51" i="45"/>
  <c r="N51" i="45"/>
  <c r="R51" i="45"/>
  <c r="K52" i="45"/>
  <c r="O52" i="45"/>
  <c r="S52" i="45"/>
  <c r="J13" i="47"/>
  <c r="N13" i="47"/>
  <c r="R13" i="47"/>
  <c r="K14" i="47"/>
  <c r="O14" i="47"/>
  <c r="S14" i="47"/>
  <c r="L15" i="47"/>
  <c r="P15" i="47"/>
  <c r="I16" i="47"/>
  <c r="M16" i="47"/>
  <c r="Q16" i="47"/>
  <c r="J17" i="47"/>
  <c r="N17" i="47"/>
  <c r="R17" i="47"/>
  <c r="K18" i="47"/>
  <c r="O18" i="47"/>
  <c r="S18" i="47"/>
  <c r="L19" i="47"/>
  <c r="P19" i="47"/>
  <c r="I20" i="47"/>
  <c r="M20" i="47"/>
  <c r="Q20" i="47"/>
  <c r="J21" i="47"/>
  <c r="N21" i="47"/>
  <c r="R21" i="47"/>
  <c r="K22" i="47"/>
  <c r="O22" i="47"/>
  <c r="S22" i="47"/>
  <c r="L23" i="47"/>
  <c r="P23" i="47"/>
  <c r="I24" i="47"/>
  <c r="M24" i="47"/>
  <c r="Q24" i="47"/>
  <c r="J25" i="47"/>
  <c r="N25" i="47"/>
  <c r="R25" i="47"/>
  <c r="K26" i="47"/>
  <c r="O26" i="47"/>
  <c r="S26" i="47"/>
  <c r="L27" i="47"/>
  <c r="P27" i="47"/>
  <c r="I28" i="47"/>
  <c r="M28" i="47"/>
  <c r="Q28" i="47"/>
  <c r="J29" i="47"/>
  <c r="N29" i="47"/>
  <c r="R29" i="47"/>
  <c r="K30" i="47"/>
  <c r="O30" i="47"/>
  <c r="S30" i="47"/>
  <c r="L31" i="47"/>
  <c r="P31" i="47"/>
  <c r="I32" i="47"/>
  <c r="M32" i="47"/>
  <c r="Q32" i="47"/>
  <c r="I13" i="49"/>
  <c r="M13" i="49"/>
  <c r="Q13" i="49"/>
  <c r="J14" i="49"/>
  <c r="N14" i="49"/>
  <c r="R14" i="49"/>
  <c r="J15" i="49"/>
  <c r="N15" i="49"/>
  <c r="R15" i="49"/>
  <c r="K16" i="49"/>
  <c r="O16" i="49"/>
  <c r="S16" i="49"/>
  <c r="K17" i="49"/>
  <c r="O17" i="49"/>
  <c r="S17" i="49"/>
  <c r="L18" i="49"/>
  <c r="L26" i="49" s="1"/>
  <c r="P18" i="49"/>
  <c r="L19" i="49"/>
  <c r="P19" i="49"/>
  <c r="I20" i="49"/>
  <c r="I26" i="49" s="1"/>
  <c r="M20" i="49"/>
  <c r="Q20" i="49"/>
  <c r="I21" i="49"/>
  <c r="M21" i="49"/>
  <c r="Q21" i="49"/>
  <c r="J22" i="49"/>
  <c r="N22" i="49"/>
  <c r="R22" i="49"/>
  <c r="J23" i="49"/>
  <c r="J25" i="49" s="1"/>
  <c r="N23" i="49"/>
  <c r="N25" i="49" s="1"/>
  <c r="R23" i="49"/>
  <c r="K24" i="49"/>
  <c r="O24" i="49"/>
  <c r="S24" i="49"/>
  <c r="S26" i="49" s="1"/>
  <c r="L13" i="51"/>
  <c r="P13" i="51"/>
  <c r="I14" i="51"/>
  <c r="M14" i="51"/>
  <c r="M22" i="51" s="1"/>
  <c r="Q14" i="51"/>
  <c r="J15" i="51"/>
  <c r="N15" i="51"/>
  <c r="R15" i="51"/>
  <c r="K16" i="51"/>
  <c r="O16" i="51"/>
  <c r="J17" i="51"/>
  <c r="R17" i="51"/>
  <c r="R21" i="51" s="1"/>
  <c r="O18" i="51"/>
  <c r="L19" i="51"/>
  <c r="I20" i="51"/>
  <c r="Q20" i="51"/>
  <c r="P13" i="53"/>
  <c r="M14" i="53"/>
  <c r="Q15" i="53"/>
  <c r="N16" i="53"/>
  <c r="J17" i="53"/>
  <c r="R17" i="53"/>
  <c r="O18" i="53"/>
  <c r="K21" i="53"/>
  <c r="S21" i="53"/>
  <c r="P22" i="53"/>
  <c r="L23" i="53"/>
  <c r="L25" i="53" s="1"/>
  <c r="I24" i="53"/>
  <c r="I26" i="53" s="1"/>
  <c r="Q24" i="53"/>
  <c r="I13" i="55"/>
  <c r="Q13" i="55"/>
  <c r="N14" i="55"/>
  <c r="J15" i="55"/>
  <c r="R15" i="55"/>
  <c r="O16" i="55"/>
  <c r="K17" i="55"/>
  <c r="S17" i="55"/>
  <c r="P18" i="55"/>
  <c r="M21" i="55"/>
  <c r="J22" i="55"/>
  <c r="R22" i="55"/>
  <c r="O23" i="55"/>
  <c r="L24" i="55"/>
  <c r="P25" i="55"/>
  <c r="M26" i="55"/>
  <c r="I27" i="55"/>
  <c r="Q27" i="55"/>
  <c r="N28" i="55"/>
  <c r="J29" i="55"/>
  <c r="R29" i="55"/>
  <c r="O30" i="55"/>
  <c r="K31" i="55"/>
  <c r="S31" i="55"/>
  <c r="P32" i="55"/>
  <c r="L33" i="55"/>
  <c r="I34" i="55"/>
  <c r="Q34" i="55"/>
  <c r="M35" i="55"/>
  <c r="J36" i="55"/>
  <c r="R36" i="55"/>
  <c r="N37" i="55"/>
  <c r="K38" i="55"/>
  <c r="S38" i="55"/>
  <c r="O39" i="55"/>
  <c r="L40" i="55"/>
  <c r="K13" i="57"/>
  <c r="S13" i="57"/>
  <c r="P14" i="57"/>
  <c r="M15" i="57"/>
  <c r="J16" i="57"/>
  <c r="R16" i="57"/>
  <c r="O17" i="57"/>
  <c r="L18" i="57"/>
  <c r="I19" i="57"/>
  <c r="Q19" i="57"/>
  <c r="N20" i="57"/>
  <c r="K21" i="57"/>
  <c r="S21" i="57"/>
  <c r="P22" i="57"/>
  <c r="L25" i="57"/>
  <c r="I26" i="57"/>
  <c r="Q26" i="57"/>
  <c r="M27" i="57"/>
  <c r="J28" i="57"/>
  <c r="R28" i="57"/>
  <c r="N29" i="57"/>
  <c r="K30" i="57"/>
  <c r="S30" i="57"/>
  <c r="O31" i="57"/>
  <c r="L32" i="57"/>
  <c r="I35" i="57"/>
  <c r="Q35" i="57"/>
  <c r="N36" i="57"/>
  <c r="K37" i="57"/>
  <c r="S37" i="57"/>
  <c r="P38" i="57"/>
  <c r="M39" i="57"/>
  <c r="J40" i="57"/>
  <c r="R40" i="57"/>
  <c r="O41" i="57"/>
  <c r="L42" i="57"/>
  <c r="I43" i="57"/>
  <c r="Q43" i="57"/>
  <c r="N44" i="57"/>
  <c r="K45" i="57"/>
  <c r="S45" i="57"/>
  <c r="P46" i="57"/>
  <c r="L13" i="59"/>
  <c r="I14" i="59"/>
  <c r="Q14" i="59"/>
  <c r="N13" i="61"/>
  <c r="K14" i="61"/>
  <c r="S14" i="61"/>
  <c r="P17" i="61"/>
  <c r="M18" i="61"/>
  <c r="I19" i="61"/>
  <c r="Q19" i="61"/>
  <c r="O20" i="61"/>
  <c r="L21" i="61"/>
  <c r="I22" i="61"/>
  <c r="Q22" i="61"/>
  <c r="M23" i="61"/>
  <c r="J24" i="61"/>
  <c r="R24" i="61"/>
  <c r="N25" i="61"/>
  <c r="K26" i="61"/>
  <c r="S26" i="61"/>
  <c r="O27" i="61"/>
  <c r="L28" i="61"/>
  <c r="P29" i="61"/>
  <c r="R30" i="61"/>
  <c r="K32" i="61"/>
  <c r="O33" i="61"/>
  <c r="I13" i="63"/>
  <c r="N14" i="63"/>
  <c r="S15" i="63"/>
  <c r="M13" i="65"/>
  <c r="R14" i="65"/>
  <c r="K16" i="65"/>
  <c r="O17" i="65"/>
  <c r="M20" i="65"/>
  <c r="Q21" i="65"/>
  <c r="J23" i="65"/>
  <c r="O24" i="65"/>
  <c r="S25" i="65"/>
  <c r="L27" i="65"/>
  <c r="Q28" i="65"/>
  <c r="J30" i="65"/>
  <c r="N31" i="65"/>
  <c r="S32" i="65"/>
  <c r="L34" i="65"/>
  <c r="J14" i="67"/>
  <c r="N15" i="67"/>
  <c r="S16" i="67"/>
  <c r="L18" i="67"/>
  <c r="P19" i="67"/>
  <c r="I21" i="67"/>
  <c r="N22" i="67"/>
  <c r="R23" i="67"/>
  <c r="M25" i="67"/>
  <c r="K28" i="67"/>
  <c r="Q33" i="67"/>
  <c r="I15" i="69"/>
  <c r="F15" i="69" s="1"/>
  <c r="F13" i="70" s="1"/>
  <c r="S17" i="69"/>
  <c r="R20" i="69"/>
  <c r="Q23" i="69"/>
  <c r="R27" i="69"/>
  <c r="J16" i="73"/>
  <c r="Q27" i="1"/>
  <c r="K27" i="1"/>
  <c r="O27" i="1"/>
  <c r="I24" i="15"/>
  <c r="K24" i="15"/>
  <c r="M24" i="15"/>
  <c r="O24" i="15"/>
  <c r="Q24" i="15"/>
  <c r="S24" i="15"/>
  <c r="M27" i="1"/>
  <c r="S27" i="1"/>
  <c r="I31" i="21"/>
  <c r="K18" i="41"/>
  <c r="M18" i="63"/>
  <c r="J5" i="73"/>
  <c r="R2" i="5"/>
  <c r="L28" i="13"/>
  <c r="I27" i="1"/>
  <c r="I24" i="10"/>
  <c r="K24" i="10"/>
  <c r="M24" i="10"/>
  <c r="O24" i="10"/>
  <c r="Q24" i="10"/>
  <c r="S24" i="10"/>
  <c r="T16" i="21"/>
  <c r="I13" i="22" s="1"/>
  <c r="O38" i="25"/>
  <c r="I22" i="29"/>
  <c r="I28" i="21"/>
  <c r="I26" i="27"/>
  <c r="K26" i="27"/>
  <c r="M26" i="27"/>
  <c r="O26" i="27"/>
  <c r="Q26" i="27"/>
  <c r="S26" i="27"/>
  <c r="L18" i="63"/>
  <c r="I36" i="65"/>
  <c r="L33" i="47" l="1"/>
  <c r="N25" i="43"/>
  <c r="S25" i="27"/>
  <c r="J43" i="23"/>
  <c r="S44" i="19"/>
  <c r="S23" i="15"/>
  <c r="M23" i="10"/>
  <c r="I23" i="10"/>
  <c r="I21" i="39"/>
  <c r="M21" i="39"/>
  <c r="I33" i="47"/>
  <c r="I19" i="73"/>
  <c r="N26" i="1"/>
  <c r="F21" i="27"/>
  <c r="F16" i="28" s="1"/>
  <c r="G16" i="28" s="1"/>
  <c r="F42" i="19"/>
  <c r="F13" i="45"/>
  <c r="M33" i="47"/>
  <c r="I47" i="57"/>
  <c r="S47" i="57"/>
  <c r="I5" i="73"/>
  <c r="M47" i="57"/>
  <c r="J23" i="15"/>
  <c r="L26" i="1"/>
  <c r="R26" i="1"/>
  <c r="J26" i="1"/>
  <c r="L23" i="15"/>
  <c r="S38" i="25"/>
  <c r="K38" i="25"/>
  <c r="O48" i="57"/>
  <c r="I22" i="51"/>
  <c r="L34" i="35"/>
  <c r="Q38" i="25"/>
  <c r="J38" i="25"/>
  <c r="M38" i="25"/>
  <c r="R38" i="25"/>
  <c r="N38" i="25"/>
  <c r="K28" i="13"/>
  <c r="P28" i="13"/>
  <c r="J26" i="53"/>
  <c r="S48" i="57"/>
  <c r="P36" i="61"/>
  <c r="K36" i="67"/>
  <c r="I34" i="69"/>
  <c r="T16" i="69"/>
  <c r="I13" i="70" s="1"/>
  <c r="F13" i="73"/>
  <c r="F45" i="57"/>
  <c r="F28" i="58" s="1"/>
  <c r="G28" i="58" s="1"/>
  <c r="R25" i="49"/>
  <c r="F21" i="67"/>
  <c r="F16" i="68" s="1"/>
  <c r="T30" i="65"/>
  <c r="I23" i="66" s="1"/>
  <c r="O47" i="57"/>
  <c r="Q47" i="57"/>
  <c r="Q26" i="49"/>
  <c r="N43" i="23"/>
  <c r="I43" i="23"/>
  <c r="J28" i="13"/>
  <c r="Q23" i="10"/>
  <c r="I27" i="37"/>
  <c r="O53" i="45"/>
  <c r="K33" i="47"/>
  <c r="L34" i="69"/>
  <c r="F19" i="69"/>
  <c r="F15" i="70" s="1"/>
  <c r="G15" i="70" s="1"/>
  <c r="L19" i="73"/>
  <c r="Q20" i="73"/>
  <c r="R25" i="27"/>
  <c r="Q25" i="36"/>
  <c r="R13" i="36"/>
  <c r="R25" i="36" s="1"/>
  <c r="Q27" i="21"/>
  <c r="P44" i="19"/>
  <c r="N25" i="27"/>
  <c r="H27" i="21"/>
  <c r="K47" i="57"/>
  <c r="N36" i="65"/>
  <c r="P37" i="25"/>
  <c r="O27" i="13"/>
  <c r="G27" i="21"/>
  <c r="F27" i="21"/>
  <c r="J25" i="27"/>
  <c r="I27" i="21"/>
  <c r="I44" i="19"/>
  <c r="Q26" i="1"/>
  <c r="T34" i="61"/>
  <c r="I22" i="62" s="1"/>
  <c r="O35" i="67"/>
  <c r="T28" i="67"/>
  <c r="I19" i="68" s="1"/>
  <c r="T38" i="57"/>
  <c r="I24" i="58" s="1"/>
  <c r="T14" i="55"/>
  <c r="J26" i="49"/>
  <c r="O17" i="41"/>
  <c r="O25" i="27"/>
  <c r="N37" i="25"/>
  <c r="O44" i="19"/>
  <c r="L44" i="19"/>
  <c r="I37" i="17"/>
  <c r="O23" i="15"/>
  <c r="R28" i="13"/>
  <c r="M27" i="13"/>
  <c r="I28" i="13"/>
  <c r="M26" i="1"/>
  <c r="Q27" i="37"/>
  <c r="Q21" i="39"/>
  <c r="J18" i="63"/>
  <c r="O36" i="67"/>
  <c r="T30" i="69"/>
  <c r="I20" i="70" s="1"/>
  <c r="J17" i="63"/>
  <c r="I20" i="73"/>
  <c r="T16" i="71"/>
  <c r="O26" i="49"/>
  <c r="P26" i="49"/>
  <c r="K17" i="41"/>
  <c r="K22" i="39"/>
  <c r="L37" i="25"/>
  <c r="K27" i="13"/>
  <c r="R27" i="13"/>
  <c r="M26" i="53"/>
  <c r="M27" i="37"/>
  <c r="S53" i="45"/>
  <c r="O33" i="47"/>
  <c r="T28" i="61"/>
  <c r="I19" i="62" s="1"/>
  <c r="I33" i="69"/>
  <c r="F13" i="63"/>
  <c r="F12" i="64" s="1"/>
  <c r="T20" i="61"/>
  <c r="I15" i="62" s="1"/>
  <c r="N47" i="57"/>
  <c r="K42" i="55"/>
  <c r="K26" i="49"/>
  <c r="K25" i="27"/>
  <c r="J37" i="25"/>
  <c r="R43" i="23"/>
  <c r="K44" i="19"/>
  <c r="K23" i="15"/>
  <c r="N28" i="13"/>
  <c r="I26" i="1"/>
  <c r="K53" i="45"/>
  <c r="N17" i="63"/>
  <c r="F25" i="69"/>
  <c r="F18" i="70" s="1"/>
  <c r="M20" i="73"/>
  <c r="T32" i="67"/>
  <c r="I21" i="68" s="1"/>
  <c r="I18" i="63"/>
  <c r="K18" i="63"/>
  <c r="O18" i="63"/>
  <c r="T22" i="15"/>
  <c r="I16" i="16" s="1"/>
  <c r="T20" i="49"/>
  <c r="I15" i="50" s="1"/>
  <c r="T28" i="57"/>
  <c r="I19" i="58" s="1"/>
  <c r="T22" i="47"/>
  <c r="I16" i="48" s="1"/>
  <c r="S26" i="43"/>
  <c r="P34" i="35"/>
  <c r="N24" i="10"/>
  <c r="T22" i="10"/>
  <c r="J27" i="1"/>
  <c r="N34" i="47"/>
  <c r="R48" i="57"/>
  <c r="T22" i="65"/>
  <c r="I18" i="66" s="1"/>
  <c r="T20" i="67"/>
  <c r="I15" i="68" s="1"/>
  <c r="S28" i="37"/>
  <c r="P38" i="25"/>
  <c r="T34" i="23"/>
  <c r="I22" i="24" s="1"/>
  <c r="T13" i="19"/>
  <c r="I12" i="20" s="1"/>
  <c r="T57" i="31"/>
  <c r="I33" i="32" s="1"/>
  <c r="T24" i="35"/>
  <c r="I17" i="36" s="1"/>
  <c r="J26" i="43"/>
  <c r="J34" i="47"/>
  <c r="R34" i="47"/>
  <c r="T20" i="43"/>
  <c r="T14" i="53"/>
  <c r="I12" i="54" s="1"/>
  <c r="T15" i="31"/>
  <c r="L38" i="25"/>
  <c r="R26" i="49"/>
  <c r="J48" i="57"/>
  <c r="T28" i="55"/>
  <c r="I19" i="56" s="1"/>
  <c r="F30" i="21"/>
  <c r="I23" i="15"/>
  <c r="O25" i="53"/>
  <c r="T46" i="57"/>
  <c r="I28" i="58" s="1"/>
  <c r="T20" i="69"/>
  <c r="I15" i="70" s="1"/>
  <c r="M35" i="65"/>
  <c r="T14" i="63"/>
  <c r="I12" i="64" s="1"/>
  <c r="L36" i="61"/>
  <c r="Q36" i="61"/>
  <c r="M36" i="61"/>
  <c r="K48" i="57"/>
  <c r="T18" i="57"/>
  <c r="I14" i="58" s="1"/>
  <c r="S42" i="55"/>
  <c r="O42" i="55"/>
  <c r="F15" i="53"/>
  <c r="F13" i="54" s="1"/>
  <c r="G13" i="54" s="1"/>
  <c r="N26" i="49"/>
  <c r="M26" i="49"/>
  <c r="T30" i="47"/>
  <c r="I20" i="48" s="1"/>
  <c r="I34" i="47"/>
  <c r="N25" i="53"/>
  <c r="P47" i="57"/>
  <c r="K35" i="65"/>
  <c r="S35" i="67"/>
  <c r="L17" i="63"/>
  <c r="R35" i="65"/>
  <c r="L35" i="67"/>
  <c r="F13" i="69"/>
  <c r="F12" i="70" s="1"/>
  <c r="F15" i="73"/>
  <c r="F13" i="74" s="1"/>
  <c r="P33" i="69"/>
  <c r="K33" i="69"/>
  <c r="P35" i="65"/>
  <c r="J35" i="67"/>
  <c r="F29" i="67"/>
  <c r="F20" i="68" s="1"/>
  <c r="G20" i="68" s="1"/>
  <c r="M33" i="69"/>
  <c r="F27" i="67"/>
  <c r="F19" i="68" s="1"/>
  <c r="J33" i="69"/>
  <c r="N33" i="69"/>
  <c r="Q19" i="73"/>
  <c r="K19" i="73"/>
  <c r="T36" i="55"/>
  <c r="I23" i="56" s="1"/>
  <c r="T22" i="55"/>
  <c r="I16" i="56" s="1"/>
  <c r="Q34" i="47"/>
  <c r="T30" i="45"/>
  <c r="I20" i="46" s="1"/>
  <c r="K26" i="43"/>
  <c r="K28" i="37"/>
  <c r="N34" i="35"/>
  <c r="P83" i="31"/>
  <c r="T22" i="27"/>
  <c r="I16" i="28" s="1"/>
  <c r="T26" i="25"/>
  <c r="I18" i="26" s="1"/>
  <c r="K44" i="23"/>
  <c r="T39" i="19"/>
  <c r="I25" i="20" s="1"/>
  <c r="M45" i="19"/>
  <c r="O38" i="17"/>
  <c r="J38" i="17"/>
  <c r="R27" i="1"/>
  <c r="T21" i="1"/>
  <c r="I15" i="4" s="1"/>
  <c r="T17" i="1"/>
  <c r="I13" i="4" s="1"/>
  <c r="T23" i="31"/>
  <c r="I16" i="32" s="1"/>
  <c r="Q48" i="57"/>
  <c r="I25" i="43"/>
  <c r="M25" i="43"/>
  <c r="Q25" i="43"/>
  <c r="T26" i="21"/>
  <c r="T14" i="75"/>
  <c r="I13" i="7" s="1"/>
  <c r="I17" i="63"/>
  <c r="F17" i="51"/>
  <c r="F14" i="52" s="1"/>
  <c r="G14" i="52" s="1"/>
  <c r="G16" i="52" s="1"/>
  <c r="F19" i="43"/>
  <c r="F15" i="44" s="1"/>
  <c r="G15" i="44" s="1"/>
  <c r="F15" i="39"/>
  <c r="F13" i="40" s="1"/>
  <c r="G13" i="40" s="1"/>
  <c r="F13" i="33"/>
  <c r="F12" i="34" s="1"/>
  <c r="F13" i="34" s="1"/>
  <c r="C25" i="6" s="1"/>
  <c r="F13" i="11"/>
  <c r="F15" i="11" s="1"/>
  <c r="F13" i="75"/>
  <c r="R36" i="61"/>
  <c r="T24" i="61"/>
  <c r="I17" i="62" s="1"/>
  <c r="P48" i="57"/>
  <c r="L48" i="57"/>
  <c r="N48" i="57"/>
  <c r="F35" i="57"/>
  <c r="F23" i="58" s="1"/>
  <c r="G23" i="58" s="1"/>
  <c r="T20" i="51"/>
  <c r="I15" i="52" s="1"/>
  <c r="T16" i="51"/>
  <c r="I13" i="52" s="1"/>
  <c r="M34" i="47"/>
  <c r="S34" i="47"/>
  <c r="K34" i="47"/>
  <c r="O34" i="47"/>
  <c r="T14" i="47"/>
  <c r="I12" i="48" s="1"/>
  <c r="T48" i="45"/>
  <c r="I29" i="46" s="1"/>
  <c r="O26" i="43"/>
  <c r="I21" i="51"/>
  <c r="M21" i="51"/>
  <c r="Q21" i="51"/>
  <c r="M25" i="53"/>
  <c r="K35" i="61"/>
  <c r="F33" i="65"/>
  <c r="F25" i="66" s="1"/>
  <c r="G25" i="66" s="1"/>
  <c r="K35" i="67"/>
  <c r="F17" i="67"/>
  <c r="F14" i="68" s="1"/>
  <c r="F15" i="71"/>
  <c r="F31" i="61"/>
  <c r="F21" i="62" s="1"/>
  <c r="F21" i="69"/>
  <c r="F16" i="70" s="1"/>
  <c r="G16" i="70" s="1"/>
  <c r="O19" i="73"/>
  <c r="L33" i="69"/>
  <c r="M26" i="43"/>
  <c r="Q26" i="43"/>
  <c r="M18" i="41"/>
  <c r="Q28" i="37"/>
  <c r="I28" i="37"/>
  <c r="O28" i="37"/>
  <c r="T32" i="35"/>
  <c r="I21" i="36" s="1"/>
  <c r="I34" i="35"/>
  <c r="T75" i="31"/>
  <c r="I42" i="32" s="1"/>
  <c r="T39" i="31"/>
  <c r="I24" i="32" s="1"/>
  <c r="L83" i="31"/>
  <c r="R26" i="27"/>
  <c r="N26" i="27"/>
  <c r="J26" i="27"/>
  <c r="P26" i="27"/>
  <c r="L26" i="27"/>
  <c r="T36" i="25"/>
  <c r="Q44" i="23"/>
  <c r="M44" i="23"/>
  <c r="I44" i="23"/>
  <c r="R44" i="23"/>
  <c r="N44" i="23"/>
  <c r="J44" i="23"/>
  <c r="L44" i="23"/>
  <c r="T14" i="23"/>
  <c r="I12" i="24" s="1"/>
  <c r="P45" i="19"/>
  <c r="L45" i="19"/>
  <c r="S45" i="19"/>
  <c r="O45" i="19"/>
  <c r="Q45" i="19"/>
  <c r="I45" i="19"/>
  <c r="R45" i="19"/>
  <c r="N45" i="19"/>
  <c r="J45" i="19"/>
  <c r="Q38" i="17"/>
  <c r="M38" i="17"/>
  <c r="I38" i="17"/>
  <c r="T20" i="17"/>
  <c r="I15" i="18" s="1"/>
  <c r="S37" i="17"/>
  <c r="O37" i="17"/>
  <c r="K37" i="17"/>
  <c r="R24" i="15"/>
  <c r="N24" i="15"/>
  <c r="J24" i="15"/>
  <c r="T16" i="15"/>
  <c r="I13" i="16" s="1"/>
  <c r="T24" i="13"/>
  <c r="I17" i="14" s="1"/>
  <c r="T16" i="13"/>
  <c r="I13" i="14" s="1"/>
  <c r="P24" i="10"/>
  <c r="L24" i="10"/>
  <c r="T14" i="10"/>
  <c r="I12" i="76" s="1"/>
  <c r="P27" i="1"/>
  <c r="L27" i="1"/>
  <c r="N27" i="1"/>
  <c r="J22" i="39"/>
  <c r="N22" i="39"/>
  <c r="R22" i="39"/>
  <c r="K21" i="39"/>
  <c r="O21" i="39"/>
  <c r="S21" i="39"/>
  <c r="L22" i="39"/>
  <c r="P22" i="39"/>
  <c r="T14" i="41"/>
  <c r="T18" i="43"/>
  <c r="I14" i="44" s="1"/>
  <c r="R26" i="43"/>
  <c r="K25" i="43"/>
  <c r="O25" i="43"/>
  <c r="S25" i="43"/>
  <c r="I53" i="45"/>
  <c r="M53" i="45"/>
  <c r="Q53" i="45"/>
  <c r="J54" i="45"/>
  <c r="N54" i="45"/>
  <c r="R54" i="45"/>
  <c r="J22" i="51"/>
  <c r="N22" i="51"/>
  <c r="R22" i="51"/>
  <c r="F29" i="65"/>
  <c r="F23" i="66" s="1"/>
  <c r="G23" i="66" s="1"/>
  <c r="K21" i="51"/>
  <c r="O21" i="51"/>
  <c r="S21" i="51"/>
  <c r="M17" i="63"/>
  <c r="J35" i="61"/>
  <c r="F15" i="65"/>
  <c r="F15" i="66" s="1"/>
  <c r="G15" i="66" s="1"/>
  <c r="F19" i="65"/>
  <c r="F17" i="66" s="1"/>
  <c r="G17" i="66" s="1"/>
  <c r="F31" i="67"/>
  <c r="F21" i="68" s="1"/>
  <c r="M28" i="37"/>
  <c r="R34" i="35"/>
  <c r="N83" i="31"/>
  <c r="T31" i="31"/>
  <c r="I20" i="32" s="1"/>
  <c r="R83" i="31"/>
  <c r="J83" i="31"/>
  <c r="T14" i="27"/>
  <c r="I12" i="28" s="1"/>
  <c r="T18" i="25"/>
  <c r="I14" i="26" s="1"/>
  <c r="P44" i="23"/>
  <c r="S44" i="23"/>
  <c r="T22" i="23"/>
  <c r="I16" i="24" s="1"/>
  <c r="T21" i="19"/>
  <c r="I16" i="20" s="1"/>
  <c r="T30" i="17"/>
  <c r="I19" i="18" s="1"/>
  <c r="T14" i="15"/>
  <c r="I12" i="16" s="1"/>
  <c r="R24" i="10"/>
  <c r="J24" i="10"/>
  <c r="T19" i="1"/>
  <c r="I14" i="4" s="1"/>
  <c r="T49" i="31"/>
  <c r="I29" i="32" s="1"/>
  <c r="T65" i="31"/>
  <c r="I37" i="32" s="1"/>
  <c r="N26" i="43"/>
  <c r="N18" i="63"/>
  <c r="T14" i="33"/>
  <c r="T16" i="33" s="1"/>
  <c r="T18" i="37"/>
  <c r="I14" i="38" s="1"/>
  <c r="T29" i="19"/>
  <c r="I20" i="20" s="1"/>
  <c r="T22" i="45"/>
  <c r="I16" i="46" s="1"/>
  <c r="T14" i="45"/>
  <c r="I12" i="46" s="1"/>
  <c r="T16" i="35"/>
  <c r="I13" i="36" s="1"/>
  <c r="T14" i="37"/>
  <c r="T22" i="37"/>
  <c r="I16" i="38" s="1"/>
  <c r="T40" i="45"/>
  <c r="I25" i="46" s="1"/>
  <c r="T18" i="47"/>
  <c r="I14" i="48" s="1"/>
  <c r="T26" i="47"/>
  <c r="I18" i="48" s="1"/>
  <c r="L34" i="47"/>
  <c r="P34" i="47"/>
  <c r="T16" i="49"/>
  <c r="I13" i="50" s="1"/>
  <c r="T24" i="49"/>
  <c r="I17" i="50" s="1"/>
  <c r="T18" i="53"/>
  <c r="I14" i="54" s="1"/>
  <c r="K26" i="53"/>
  <c r="I42" i="55"/>
  <c r="Q42" i="55"/>
  <c r="I36" i="61"/>
  <c r="J36" i="61"/>
  <c r="L26" i="53"/>
  <c r="M42" i="55"/>
  <c r="T32" i="55"/>
  <c r="I21" i="56" s="1"/>
  <c r="T40" i="55"/>
  <c r="I25" i="56" s="1"/>
  <c r="T14" i="57"/>
  <c r="I12" i="58" s="1"/>
  <c r="T22" i="57"/>
  <c r="I16" i="58" s="1"/>
  <c r="T32" i="57"/>
  <c r="I21" i="58" s="1"/>
  <c r="T42" i="57"/>
  <c r="I26" i="58" s="1"/>
  <c r="I48" i="57"/>
  <c r="M48" i="57"/>
  <c r="T14" i="61"/>
  <c r="I12" i="62" s="1"/>
  <c r="N36" i="61"/>
  <c r="T34" i="65"/>
  <c r="I25" i="66" s="1"/>
  <c r="T14" i="67"/>
  <c r="I12" i="68" s="1"/>
  <c r="I36" i="67"/>
  <c r="Q36" i="67"/>
  <c r="T24" i="67"/>
  <c r="I17" i="68" s="1"/>
  <c r="T34" i="67"/>
  <c r="I22" i="68" s="1"/>
  <c r="P34" i="69"/>
  <c r="K36" i="61"/>
  <c r="O36" i="61"/>
  <c r="S36" i="61"/>
  <c r="T14" i="65"/>
  <c r="T18" i="65"/>
  <c r="I16" i="66" s="1"/>
  <c r="T26" i="65"/>
  <c r="I21" i="66" s="1"/>
  <c r="O34" i="69"/>
  <c r="N20" i="73"/>
  <c r="T44" i="45"/>
  <c r="I27" i="46" s="1"/>
  <c r="T36" i="45"/>
  <c r="I23" i="46" s="1"/>
  <c r="T14" i="43"/>
  <c r="I12" i="44" s="1"/>
  <c r="T27" i="31"/>
  <c r="I18" i="32" s="1"/>
  <c r="T18" i="27"/>
  <c r="I14" i="28" s="1"/>
  <c r="T28" i="23"/>
  <c r="I19" i="24" s="1"/>
  <c r="T18" i="23"/>
  <c r="I14" i="24" s="1"/>
  <c r="T17" i="19"/>
  <c r="I14" i="20" s="1"/>
  <c r="T34" i="17"/>
  <c r="I21" i="18" s="1"/>
  <c r="T26" i="17"/>
  <c r="S38" i="17"/>
  <c r="T16" i="17"/>
  <c r="I13" i="18" s="1"/>
  <c r="P38" i="17"/>
  <c r="L38" i="17"/>
  <c r="T18" i="15"/>
  <c r="I14" i="16" s="1"/>
  <c r="P24" i="15"/>
  <c r="L24" i="15"/>
  <c r="T20" i="13"/>
  <c r="I15" i="14" s="1"/>
  <c r="T18" i="10"/>
  <c r="I14" i="76" s="1"/>
  <c r="T23" i="1"/>
  <c r="I16" i="4" s="1"/>
  <c r="T15" i="1"/>
  <c r="I12" i="4" s="1"/>
  <c r="T53" i="31"/>
  <c r="I31" i="32" s="1"/>
  <c r="T61" i="31"/>
  <c r="I35" i="32" s="1"/>
  <c r="T69" i="31"/>
  <c r="I39" i="32" s="1"/>
  <c r="T20" i="35"/>
  <c r="I15" i="36" s="1"/>
  <c r="T28" i="35"/>
  <c r="I19" i="36" s="1"/>
  <c r="T24" i="37"/>
  <c r="I17" i="38" s="1"/>
  <c r="T16" i="41"/>
  <c r="I13" i="42" s="1"/>
  <c r="L26" i="43"/>
  <c r="P26" i="43"/>
  <c r="T18" i="45"/>
  <c r="I14" i="46" s="1"/>
  <c r="T26" i="45"/>
  <c r="I18" i="46" s="1"/>
  <c r="T14" i="73"/>
  <c r="T14" i="69"/>
  <c r="T32" i="47"/>
  <c r="I21" i="48" s="1"/>
  <c r="T24" i="53"/>
  <c r="T16" i="39"/>
  <c r="I13" i="40" s="1"/>
  <c r="J34" i="35"/>
  <c r="I26" i="43"/>
  <c r="I83" i="31"/>
  <c r="U16" i="11"/>
  <c r="T16" i="55"/>
  <c r="I13" i="56" s="1"/>
  <c r="K38" i="17"/>
  <c r="T20" i="29"/>
  <c r="I15" i="30" s="1"/>
  <c r="T52" i="45"/>
  <c r="I31" i="46" s="1"/>
  <c r="T43" i="31"/>
  <c r="I26" i="32" s="1"/>
  <c r="T35" i="31"/>
  <c r="I22" i="32" s="1"/>
  <c r="T19" i="31"/>
  <c r="I14" i="32" s="1"/>
  <c r="T34" i="25"/>
  <c r="I22" i="26" s="1"/>
  <c r="T22" i="25"/>
  <c r="I16" i="26" s="1"/>
  <c r="T14" i="25"/>
  <c r="I12" i="26" s="1"/>
  <c r="T42" i="23"/>
  <c r="I26" i="24" s="1"/>
  <c r="O44" i="23"/>
  <c r="T37" i="19"/>
  <c r="I24" i="20" s="1"/>
  <c r="K45" i="19"/>
  <c r="T25" i="19"/>
  <c r="I18" i="20" s="1"/>
  <c r="T16" i="67"/>
  <c r="I13" i="68" s="1"/>
  <c r="J36" i="67"/>
  <c r="R36" i="65"/>
  <c r="T32" i="61"/>
  <c r="I21" i="62" s="1"/>
  <c r="L18" i="41"/>
  <c r="Q83" i="31"/>
  <c r="J28" i="37"/>
  <c r="N28" i="37"/>
  <c r="R28" i="37"/>
  <c r="L54" i="45"/>
  <c r="P54" i="45"/>
  <c r="L22" i="51"/>
  <c r="P22" i="51"/>
  <c r="T26" i="67"/>
  <c r="I18" i="68" s="1"/>
  <c r="P36" i="65"/>
  <c r="P36" i="67"/>
  <c r="T16" i="63"/>
  <c r="I13" i="64" s="1"/>
  <c r="I14" i="64" s="1"/>
  <c r="E40" i="6" s="1"/>
  <c r="T30" i="67"/>
  <c r="I20" i="68" s="1"/>
  <c r="N34" i="69"/>
  <c r="M34" i="69"/>
  <c r="Q34" i="69"/>
  <c r="T18" i="69"/>
  <c r="I14" i="70" s="1"/>
  <c r="T22" i="69"/>
  <c r="I16" i="70" s="1"/>
  <c r="T28" i="69"/>
  <c r="I19" i="70" s="1"/>
  <c r="J34" i="69"/>
  <c r="T26" i="69"/>
  <c r="I18" i="70" s="1"/>
  <c r="L20" i="73"/>
  <c r="K34" i="69"/>
  <c r="S34" i="69"/>
  <c r="T24" i="69"/>
  <c r="I17" i="70" s="1"/>
  <c r="T32" i="69"/>
  <c r="I21" i="70" s="1"/>
  <c r="F19" i="61"/>
  <c r="F15" i="62" s="1"/>
  <c r="G15" i="62" s="1"/>
  <c r="F43" i="57"/>
  <c r="F27" i="58" s="1"/>
  <c r="G27" i="58" s="1"/>
  <c r="F19" i="57"/>
  <c r="F15" i="58" s="1"/>
  <c r="G15" i="58" s="1"/>
  <c r="F27" i="55"/>
  <c r="F19" i="56" s="1"/>
  <c r="N42" i="55"/>
  <c r="J21" i="51"/>
  <c r="Q22" i="51"/>
  <c r="T14" i="51"/>
  <c r="I12" i="52" s="1"/>
  <c r="F21" i="49"/>
  <c r="F16" i="50" s="1"/>
  <c r="G16" i="50" s="1"/>
  <c r="F13" i="49"/>
  <c r="F12" i="50" s="1"/>
  <c r="T28" i="47"/>
  <c r="I19" i="48" s="1"/>
  <c r="T20" i="47"/>
  <c r="I15" i="48" s="1"/>
  <c r="T50" i="45"/>
  <c r="I30" i="46" s="1"/>
  <c r="T42" i="45"/>
  <c r="I26" i="46" s="1"/>
  <c r="Q54" i="45"/>
  <c r="I54" i="45"/>
  <c r="L53" i="45"/>
  <c r="R25" i="43"/>
  <c r="J25" i="43"/>
  <c r="P27" i="37"/>
  <c r="M33" i="35"/>
  <c r="F66" i="31"/>
  <c r="F38" i="32" s="1"/>
  <c r="G38" i="32" s="1"/>
  <c r="F58" i="31"/>
  <c r="F34" i="32" s="1"/>
  <c r="G34" i="32" s="1"/>
  <c r="F50" i="31"/>
  <c r="F30" i="32" s="1"/>
  <c r="G30" i="32" s="1"/>
  <c r="T45" i="31"/>
  <c r="I27" i="32" s="1"/>
  <c r="T37" i="31"/>
  <c r="I23" i="32" s="1"/>
  <c r="T29" i="31"/>
  <c r="I19" i="32" s="1"/>
  <c r="T21" i="31"/>
  <c r="I15" i="32" s="1"/>
  <c r="Q41" i="55"/>
  <c r="T22" i="49"/>
  <c r="I16" i="50" s="1"/>
  <c r="T14" i="49"/>
  <c r="I12" i="50" s="1"/>
  <c r="T24" i="47"/>
  <c r="I17" i="48" s="1"/>
  <c r="T16" i="47"/>
  <c r="I13" i="48" s="1"/>
  <c r="T46" i="45"/>
  <c r="I28" i="46" s="1"/>
  <c r="T38" i="45"/>
  <c r="I24" i="46" s="1"/>
  <c r="M54" i="45"/>
  <c r="P53" i="45"/>
  <c r="L27" i="37"/>
  <c r="F31" i="35"/>
  <c r="F21" i="36" s="1"/>
  <c r="G21" i="36" s="1"/>
  <c r="F23" i="35"/>
  <c r="F17" i="36" s="1"/>
  <c r="G17" i="36" s="1"/>
  <c r="Q33" i="35"/>
  <c r="F70" i="31"/>
  <c r="F40" i="32" s="1"/>
  <c r="G40" i="32" s="1"/>
  <c r="F62" i="31"/>
  <c r="F36" i="32" s="1"/>
  <c r="G36" i="32" s="1"/>
  <c r="F54" i="31"/>
  <c r="F32" i="32" s="1"/>
  <c r="G32" i="32" s="1"/>
  <c r="F44" i="31"/>
  <c r="F27" i="32" s="1"/>
  <c r="G27" i="32" s="1"/>
  <c r="F36" i="31"/>
  <c r="F23" i="32" s="1"/>
  <c r="G23" i="32" s="1"/>
  <c r="F28" i="31"/>
  <c r="F19" i="32" s="1"/>
  <c r="G19" i="32" s="1"/>
  <c r="F20" i="31"/>
  <c r="F15" i="32" s="1"/>
  <c r="G15" i="32" s="1"/>
  <c r="T17" i="31"/>
  <c r="I13" i="32" s="1"/>
  <c r="F16" i="31"/>
  <c r="F13" i="32" s="1"/>
  <c r="G13" i="32" s="1"/>
  <c r="M83" i="31"/>
  <c r="P82" i="31"/>
  <c r="L82" i="31"/>
  <c r="F19" i="27"/>
  <c r="F15" i="28" s="1"/>
  <c r="F15" i="27"/>
  <c r="F13" i="28" s="1"/>
  <c r="G13" i="28" s="1"/>
  <c r="F41" i="23"/>
  <c r="G41" i="23" s="1"/>
  <c r="F29" i="23"/>
  <c r="F19" i="23"/>
  <c r="R31" i="21"/>
  <c r="N31" i="21"/>
  <c r="J31" i="21"/>
  <c r="F38" i="19"/>
  <c r="F25" i="20" s="1"/>
  <c r="G25" i="20" s="1"/>
  <c r="F30" i="19"/>
  <c r="F21" i="20" s="1"/>
  <c r="G21" i="20" s="1"/>
  <c r="F26" i="19"/>
  <c r="F19" i="20" s="1"/>
  <c r="G19" i="20" s="1"/>
  <c r="F22" i="19"/>
  <c r="F17" i="20" s="1"/>
  <c r="G17" i="20" s="1"/>
  <c r="F18" i="19"/>
  <c r="F15" i="20" s="1"/>
  <c r="G15" i="20" s="1"/>
  <c r="F14" i="19"/>
  <c r="F13" i="20" s="1"/>
  <c r="G13" i="20" s="1"/>
  <c r="T36" i="17"/>
  <c r="I22" i="18" s="1"/>
  <c r="F35" i="17"/>
  <c r="F22" i="18" s="1"/>
  <c r="G22" i="18" s="1"/>
  <c r="T32" i="17"/>
  <c r="I20" i="18" s="1"/>
  <c r="F31" i="17"/>
  <c r="F20" i="18" s="1"/>
  <c r="G20" i="18" s="1"/>
  <c r="T28" i="17"/>
  <c r="I18" i="18" s="1"/>
  <c r="F27" i="17"/>
  <c r="F18" i="18" s="1"/>
  <c r="G18" i="18" s="1"/>
  <c r="F23" i="17"/>
  <c r="F17" i="18" s="1"/>
  <c r="G17" i="18" s="1"/>
  <c r="T18" i="17"/>
  <c r="F17" i="17"/>
  <c r="F14" i="18" s="1"/>
  <c r="P37" i="17"/>
  <c r="L37" i="17"/>
  <c r="R38" i="17"/>
  <c r="N38" i="17"/>
  <c r="T14" i="17"/>
  <c r="Q37" i="17"/>
  <c r="M37" i="17"/>
  <c r="F13" i="17"/>
  <c r="T20" i="15"/>
  <c r="I15" i="16" s="1"/>
  <c r="F19" i="15"/>
  <c r="F15" i="16" s="1"/>
  <c r="F15" i="15"/>
  <c r="F13" i="16" s="1"/>
  <c r="T26" i="13"/>
  <c r="I18" i="14" s="1"/>
  <c r="T22" i="13"/>
  <c r="I16" i="14" s="1"/>
  <c r="F21" i="13"/>
  <c r="F16" i="14" s="1"/>
  <c r="G16" i="14" s="1"/>
  <c r="P27" i="13"/>
  <c r="L27" i="13"/>
  <c r="T18" i="13"/>
  <c r="I14" i="14" s="1"/>
  <c r="F17" i="13"/>
  <c r="F14" i="14" s="1"/>
  <c r="G14" i="14" s="1"/>
  <c r="T14" i="13"/>
  <c r="I12" i="14" s="1"/>
  <c r="F13" i="13"/>
  <c r="F17" i="11"/>
  <c r="C48" i="6" s="1"/>
  <c r="U14" i="11"/>
  <c r="I12" i="12" s="1"/>
  <c r="I13" i="12" s="1"/>
  <c r="E14" i="6" s="1"/>
  <c r="F21" i="10"/>
  <c r="F16" i="76" s="1"/>
  <c r="F17" i="10"/>
  <c r="F14" i="76" s="1"/>
  <c r="F13" i="10"/>
  <c r="T25" i="1"/>
  <c r="F24" i="1"/>
  <c r="F17" i="4" s="1"/>
  <c r="F20" i="1"/>
  <c r="F15" i="4" s="1"/>
  <c r="F16" i="1"/>
  <c r="F13" i="4" s="1"/>
  <c r="F22" i="31"/>
  <c r="F16" i="32" s="1"/>
  <c r="G16" i="32" s="1"/>
  <c r="F26" i="31"/>
  <c r="F18" i="32" s="1"/>
  <c r="G18" i="32" s="1"/>
  <c r="F30" i="31"/>
  <c r="F20" i="32" s="1"/>
  <c r="G20" i="32" s="1"/>
  <c r="F34" i="31"/>
  <c r="F22" i="32" s="1"/>
  <c r="G22" i="32" s="1"/>
  <c r="F38" i="31"/>
  <c r="F24" i="32" s="1"/>
  <c r="G24" i="32" s="1"/>
  <c r="F42" i="31"/>
  <c r="F26" i="32" s="1"/>
  <c r="G26" i="32" s="1"/>
  <c r="S83" i="31"/>
  <c r="O83" i="31"/>
  <c r="K83" i="31"/>
  <c r="R82" i="31"/>
  <c r="N82" i="31"/>
  <c r="J82" i="31"/>
  <c r="Q25" i="27"/>
  <c r="M25" i="27"/>
  <c r="I25" i="27"/>
  <c r="F17" i="27"/>
  <c r="F14" i="28" s="1"/>
  <c r="G14" i="28" s="1"/>
  <c r="F13" i="27"/>
  <c r="F12" i="28" s="1"/>
  <c r="F33" i="25"/>
  <c r="F22" i="26" s="1"/>
  <c r="G22" i="26" s="1"/>
  <c r="F25" i="25"/>
  <c r="F18" i="26" s="1"/>
  <c r="F21" i="25"/>
  <c r="F16" i="26" s="1"/>
  <c r="F17" i="25"/>
  <c r="F14" i="26" s="1"/>
  <c r="F13" i="25"/>
  <c r="T38" i="23"/>
  <c r="P43" i="23"/>
  <c r="L43" i="23"/>
  <c r="F33" i="23"/>
  <c r="F22" i="24" s="1"/>
  <c r="G22" i="24" s="1"/>
  <c r="F27" i="23"/>
  <c r="T24" i="23"/>
  <c r="I17" i="24" s="1"/>
  <c r="F17" i="23"/>
  <c r="T16" i="23"/>
  <c r="I13" i="24" s="1"/>
  <c r="P31" i="21"/>
  <c r="L31" i="21"/>
  <c r="T43" i="19"/>
  <c r="I27" i="20" s="1"/>
  <c r="Q44" i="19"/>
  <c r="M44" i="19"/>
  <c r="T42" i="19"/>
  <c r="H27" i="20" s="1"/>
  <c r="R44" i="19"/>
  <c r="N44" i="19"/>
  <c r="T31" i="19"/>
  <c r="I21" i="20" s="1"/>
  <c r="F28" i="19"/>
  <c r="F20" i="20" s="1"/>
  <c r="G20" i="20" s="1"/>
  <c r="T27" i="19"/>
  <c r="I19" i="20" s="1"/>
  <c r="F24" i="19"/>
  <c r="F18" i="20" s="1"/>
  <c r="G18" i="20" s="1"/>
  <c r="T23" i="19"/>
  <c r="I17" i="20" s="1"/>
  <c r="F20" i="19"/>
  <c r="F16" i="20" s="1"/>
  <c r="G16" i="20" s="1"/>
  <c r="T19" i="19"/>
  <c r="I15" i="20" s="1"/>
  <c r="F16" i="19"/>
  <c r="F14" i="20" s="1"/>
  <c r="G14" i="20" s="1"/>
  <c r="T15" i="19"/>
  <c r="I13" i="20" s="1"/>
  <c r="F12" i="19"/>
  <c r="F12" i="20" s="1"/>
  <c r="F33" i="17"/>
  <c r="F21" i="18" s="1"/>
  <c r="G21" i="18" s="1"/>
  <c r="F29" i="17"/>
  <c r="F19" i="18" s="1"/>
  <c r="G19" i="18" s="1"/>
  <c r="T24" i="17"/>
  <c r="I17" i="18" s="1"/>
  <c r="F19" i="17"/>
  <c r="F15" i="18" s="1"/>
  <c r="G15" i="18" s="1"/>
  <c r="R37" i="17"/>
  <c r="N37" i="17"/>
  <c r="Q23" i="15"/>
  <c r="M23" i="15"/>
  <c r="F21" i="15"/>
  <c r="F16" i="16" s="1"/>
  <c r="F17" i="15"/>
  <c r="F14" i="16" s="1"/>
  <c r="G14" i="16" s="1"/>
  <c r="G17" i="16" s="1"/>
  <c r="F13" i="15"/>
  <c r="F19" i="13"/>
  <c r="F15" i="14" s="1"/>
  <c r="G15" i="14" s="1"/>
  <c r="F15" i="13"/>
  <c r="F13" i="14" s="1"/>
  <c r="U18" i="11"/>
  <c r="E48" i="6" s="1"/>
  <c r="U15" i="11"/>
  <c r="S23" i="10"/>
  <c r="O23" i="10"/>
  <c r="K23" i="10"/>
  <c r="T20" i="10"/>
  <c r="I15" i="76" s="1"/>
  <c r="F19" i="10"/>
  <c r="F15" i="76" s="1"/>
  <c r="T16" i="10"/>
  <c r="F15" i="10"/>
  <c r="F13" i="76" s="1"/>
  <c r="G13" i="76" s="1"/>
  <c r="G17" i="76" s="1"/>
  <c r="S26" i="1"/>
  <c r="O26" i="1"/>
  <c r="K26" i="1"/>
  <c r="F22" i="1"/>
  <c r="F16" i="4" s="1"/>
  <c r="F18" i="1"/>
  <c r="F14" i="4" s="1"/>
  <c r="F14" i="1"/>
  <c r="J33" i="35"/>
  <c r="N33" i="35"/>
  <c r="R33" i="35"/>
  <c r="K34" i="35"/>
  <c r="O34" i="35"/>
  <c r="S34" i="35"/>
  <c r="K27" i="37"/>
  <c r="O27" i="37"/>
  <c r="S27" i="37"/>
  <c r="L28" i="37"/>
  <c r="P28" i="37"/>
  <c r="F15" i="37"/>
  <c r="F13" i="38" s="1"/>
  <c r="G13" i="38" s="1"/>
  <c r="F19" i="37"/>
  <c r="F15" i="38" s="1"/>
  <c r="G15" i="38" s="1"/>
  <c r="F23" i="37"/>
  <c r="F17" i="38" s="1"/>
  <c r="G17" i="38" s="1"/>
  <c r="F13" i="39"/>
  <c r="F12" i="40" s="1"/>
  <c r="T51" i="31"/>
  <c r="I30" i="32" s="1"/>
  <c r="T55" i="31"/>
  <c r="I32" i="32" s="1"/>
  <c r="T59" i="31"/>
  <c r="I34" i="32" s="1"/>
  <c r="T63" i="31"/>
  <c r="I36" i="32" s="1"/>
  <c r="T67" i="31"/>
  <c r="I38" i="32" s="1"/>
  <c r="T71" i="31"/>
  <c r="I40" i="32" s="1"/>
  <c r="F74" i="31"/>
  <c r="F42" i="32" s="1"/>
  <c r="G42" i="32" s="1"/>
  <c r="L33" i="35"/>
  <c r="P33" i="35"/>
  <c r="M34" i="35"/>
  <c r="Q34" i="35"/>
  <c r="F17" i="35"/>
  <c r="F14" i="36" s="1"/>
  <c r="G14" i="36" s="1"/>
  <c r="T18" i="35"/>
  <c r="F21" i="35"/>
  <c r="F16" i="36" s="1"/>
  <c r="G16" i="36" s="1"/>
  <c r="T22" i="35"/>
  <c r="I16" i="36" s="1"/>
  <c r="F25" i="35"/>
  <c r="F18" i="36" s="1"/>
  <c r="G18" i="36" s="1"/>
  <c r="T26" i="35"/>
  <c r="I18" i="36" s="1"/>
  <c r="F29" i="35"/>
  <c r="F20" i="36" s="1"/>
  <c r="G20" i="36" s="1"/>
  <c r="T30" i="35"/>
  <c r="I20" i="36" s="1"/>
  <c r="F13" i="37"/>
  <c r="F17" i="37"/>
  <c r="F14" i="38" s="1"/>
  <c r="G14" i="38" s="1"/>
  <c r="F13" i="43"/>
  <c r="F12" i="44" s="1"/>
  <c r="F17" i="43"/>
  <c r="F14" i="44" s="1"/>
  <c r="G14" i="44" s="1"/>
  <c r="F17" i="45"/>
  <c r="F14" i="46" s="1"/>
  <c r="G14" i="46" s="1"/>
  <c r="F21" i="45"/>
  <c r="F16" i="46" s="1"/>
  <c r="G16" i="46" s="1"/>
  <c r="F25" i="45"/>
  <c r="F18" i="46" s="1"/>
  <c r="G18" i="46" s="1"/>
  <c r="F29" i="45"/>
  <c r="F20" i="46" s="1"/>
  <c r="G20" i="46" s="1"/>
  <c r="F37" i="45"/>
  <c r="F24" i="46" s="1"/>
  <c r="G24" i="46" s="1"/>
  <c r="F41" i="45"/>
  <c r="F26" i="46" s="1"/>
  <c r="G26" i="46" s="1"/>
  <c r="F45" i="45"/>
  <c r="F28" i="46" s="1"/>
  <c r="G28" i="46" s="1"/>
  <c r="F49" i="45"/>
  <c r="F30" i="46" s="1"/>
  <c r="G30" i="46" s="1"/>
  <c r="F13" i="47"/>
  <c r="F17" i="47"/>
  <c r="F14" i="48" s="1"/>
  <c r="G14" i="48" s="1"/>
  <c r="F21" i="47"/>
  <c r="F16" i="48" s="1"/>
  <c r="G16" i="48" s="1"/>
  <c r="F25" i="47"/>
  <c r="F18" i="48" s="1"/>
  <c r="G18" i="48" s="1"/>
  <c r="F29" i="47"/>
  <c r="F20" i="48" s="1"/>
  <c r="G20" i="48" s="1"/>
  <c r="K25" i="49"/>
  <c r="O25" i="49"/>
  <c r="S25" i="49"/>
  <c r="F13" i="51"/>
  <c r="F12" i="52" s="1"/>
  <c r="L21" i="51"/>
  <c r="T18" i="51"/>
  <c r="I14" i="52" s="1"/>
  <c r="O41" i="55"/>
  <c r="L42" i="55"/>
  <c r="T18" i="55"/>
  <c r="I14" i="56" s="1"/>
  <c r="F23" i="55"/>
  <c r="F17" i="56" s="1"/>
  <c r="F31" i="55"/>
  <c r="F21" i="56" s="1"/>
  <c r="G21" i="56" s="1"/>
  <c r="F39" i="55"/>
  <c r="F25" i="56" s="1"/>
  <c r="G25" i="56" s="1"/>
  <c r="F13" i="57"/>
  <c r="F12" i="58" s="1"/>
  <c r="F21" i="57"/>
  <c r="F16" i="58" s="1"/>
  <c r="G16" i="58" s="1"/>
  <c r="F31" i="57"/>
  <c r="F21" i="58" s="1"/>
  <c r="G21" i="58" s="1"/>
  <c r="F41" i="57"/>
  <c r="F26" i="58" s="1"/>
  <c r="G26" i="58" s="1"/>
  <c r="Q35" i="67"/>
  <c r="T22" i="67"/>
  <c r="I16" i="68" s="1"/>
  <c r="F33" i="67"/>
  <c r="F22" i="68" s="1"/>
  <c r="G22" i="68" s="1"/>
  <c r="F23" i="69"/>
  <c r="F17" i="70" s="1"/>
  <c r="G17" i="70" s="1"/>
  <c r="F19" i="51"/>
  <c r="F15" i="52" s="1"/>
  <c r="K25" i="53"/>
  <c r="J41" i="55"/>
  <c r="N41" i="55"/>
  <c r="R41" i="55"/>
  <c r="F25" i="57"/>
  <c r="F18" i="58" s="1"/>
  <c r="G18" i="58" s="1"/>
  <c r="T26" i="57"/>
  <c r="I18" i="58" s="1"/>
  <c r="F29" i="57"/>
  <c r="F20" i="58" s="1"/>
  <c r="G20" i="58" s="1"/>
  <c r="T30" i="57"/>
  <c r="I20" i="58" s="1"/>
  <c r="F13" i="59"/>
  <c r="T14" i="59"/>
  <c r="M35" i="61"/>
  <c r="T18" i="61"/>
  <c r="I14" i="62" s="1"/>
  <c r="F33" i="61"/>
  <c r="F22" i="62" s="1"/>
  <c r="O35" i="65"/>
  <c r="L36" i="65"/>
  <c r="L36" i="67"/>
  <c r="T18" i="67"/>
  <c r="I14" i="68" s="1"/>
  <c r="N35" i="61"/>
  <c r="L35" i="65"/>
  <c r="M36" i="65"/>
  <c r="Q36" i="65"/>
  <c r="T16" i="65"/>
  <c r="I15" i="66" s="1"/>
  <c r="T20" i="65"/>
  <c r="I17" i="66" s="1"/>
  <c r="F23" i="65"/>
  <c r="F19" i="66" s="1"/>
  <c r="T24" i="65"/>
  <c r="I19" i="66" s="1"/>
  <c r="F27" i="65"/>
  <c r="F22" i="66" s="1"/>
  <c r="G22" i="66" s="1"/>
  <c r="T28" i="65"/>
  <c r="I22" i="66" s="1"/>
  <c r="F31" i="65"/>
  <c r="F24" i="66" s="1"/>
  <c r="G24" i="66" s="1"/>
  <c r="T32" i="65"/>
  <c r="I24" i="66" s="1"/>
  <c r="N35" i="67"/>
  <c r="R35" i="67"/>
  <c r="S36" i="67"/>
  <c r="R34" i="69"/>
  <c r="F17" i="69"/>
  <c r="R33" i="69"/>
  <c r="F21" i="37"/>
  <c r="F16" i="38" s="1"/>
  <c r="G16" i="38" s="1"/>
  <c r="L17" i="41"/>
  <c r="P17" i="41"/>
  <c r="F15" i="41"/>
  <c r="F13" i="42" s="1"/>
  <c r="G13" i="42" s="1"/>
  <c r="F15" i="43"/>
  <c r="F13" i="44" s="1"/>
  <c r="G13" i="44" s="1"/>
  <c r="F15" i="45"/>
  <c r="F13" i="46" s="1"/>
  <c r="G13" i="46" s="1"/>
  <c r="F19" i="45"/>
  <c r="F15" i="46" s="1"/>
  <c r="G15" i="46" s="1"/>
  <c r="F23" i="45"/>
  <c r="F17" i="46" s="1"/>
  <c r="G17" i="46" s="1"/>
  <c r="F27" i="45"/>
  <c r="F19" i="46" s="1"/>
  <c r="G19" i="46" s="1"/>
  <c r="F31" i="45"/>
  <c r="F21" i="46" s="1"/>
  <c r="G21" i="46" s="1"/>
  <c r="F35" i="45"/>
  <c r="F23" i="46" s="1"/>
  <c r="G23" i="46" s="1"/>
  <c r="F39" i="45"/>
  <c r="F25" i="46" s="1"/>
  <c r="G25" i="46" s="1"/>
  <c r="F43" i="45"/>
  <c r="F27" i="46" s="1"/>
  <c r="G27" i="46" s="1"/>
  <c r="F47" i="45"/>
  <c r="F29" i="46" s="1"/>
  <c r="G29" i="46" s="1"/>
  <c r="F51" i="45"/>
  <c r="F31" i="46" s="1"/>
  <c r="G31" i="46" s="1"/>
  <c r="F15" i="47"/>
  <c r="F13" i="48" s="1"/>
  <c r="G13" i="48" s="1"/>
  <c r="F19" i="47"/>
  <c r="F15" i="48" s="1"/>
  <c r="G15" i="48" s="1"/>
  <c r="F23" i="47"/>
  <c r="F17" i="48" s="1"/>
  <c r="G17" i="48" s="1"/>
  <c r="F27" i="47"/>
  <c r="F19" i="48" s="1"/>
  <c r="F31" i="47"/>
  <c r="F21" i="48" s="1"/>
  <c r="G21" i="48" s="1"/>
  <c r="F15" i="49"/>
  <c r="F13" i="50" s="1"/>
  <c r="F19" i="49"/>
  <c r="F15" i="50" s="1"/>
  <c r="G15" i="50" s="1"/>
  <c r="M25" i="49"/>
  <c r="Q25" i="49"/>
  <c r="F15" i="51"/>
  <c r="F13" i="52" s="1"/>
  <c r="G13" i="52" s="1"/>
  <c r="P21" i="51"/>
  <c r="O26" i="53"/>
  <c r="F21" i="53"/>
  <c r="F16" i="54" s="1"/>
  <c r="G16" i="54" s="1"/>
  <c r="J25" i="53"/>
  <c r="K41" i="55"/>
  <c r="S41" i="55"/>
  <c r="P42" i="55"/>
  <c r="F17" i="55"/>
  <c r="F14" i="56" s="1"/>
  <c r="G14" i="56" s="1"/>
  <c r="F17" i="57"/>
  <c r="F14" i="58" s="1"/>
  <c r="G14" i="58" s="1"/>
  <c r="L47" i="57"/>
  <c r="F37" i="57"/>
  <c r="F24" i="58" s="1"/>
  <c r="G24" i="58" s="1"/>
  <c r="F27" i="61"/>
  <c r="F19" i="62" s="1"/>
  <c r="G19" i="62" s="1"/>
  <c r="Q35" i="65"/>
  <c r="N36" i="67"/>
  <c r="F13" i="53"/>
  <c r="N26" i="53"/>
  <c r="F17" i="53"/>
  <c r="F14" i="54" s="1"/>
  <c r="G14" i="54" s="1"/>
  <c r="L41" i="55"/>
  <c r="P41" i="55"/>
  <c r="F15" i="55"/>
  <c r="F13" i="56" s="1"/>
  <c r="T24" i="55"/>
  <c r="I17" i="56" s="1"/>
  <c r="F25" i="55"/>
  <c r="F18" i="56" s="1"/>
  <c r="G18" i="56" s="1"/>
  <c r="T26" i="55"/>
  <c r="I18" i="56" s="1"/>
  <c r="F29" i="55"/>
  <c r="F20" i="56" s="1"/>
  <c r="G20" i="56" s="1"/>
  <c r="T30" i="55"/>
  <c r="I20" i="56" s="1"/>
  <c r="F33" i="55"/>
  <c r="F22" i="56" s="1"/>
  <c r="G22" i="56" s="1"/>
  <c r="T34" i="55"/>
  <c r="I22" i="56" s="1"/>
  <c r="F37" i="55"/>
  <c r="F24" i="56" s="1"/>
  <c r="G24" i="56" s="1"/>
  <c r="T38" i="55"/>
  <c r="I24" i="56" s="1"/>
  <c r="T16" i="57"/>
  <c r="I13" i="58" s="1"/>
  <c r="T20" i="57"/>
  <c r="I15" i="58" s="1"/>
  <c r="T36" i="57"/>
  <c r="I23" i="58" s="1"/>
  <c r="T40" i="57"/>
  <c r="I25" i="58" s="1"/>
  <c r="T44" i="57"/>
  <c r="I27" i="58" s="1"/>
  <c r="F13" i="61"/>
  <c r="O35" i="61"/>
  <c r="F21" i="61"/>
  <c r="F16" i="62" s="1"/>
  <c r="G16" i="62" s="1"/>
  <c r="T22" i="61"/>
  <c r="I16" i="62" s="1"/>
  <c r="F25" i="61"/>
  <c r="F18" i="62" s="1"/>
  <c r="G18" i="62" s="1"/>
  <c r="T26" i="61"/>
  <c r="I18" i="62" s="1"/>
  <c r="F29" i="61"/>
  <c r="F20" i="62" s="1"/>
  <c r="F15" i="63"/>
  <c r="F13" i="64" s="1"/>
  <c r="G13" i="64" s="1"/>
  <c r="G14" i="64" s="1"/>
  <c r="S35" i="65"/>
  <c r="F17" i="65"/>
  <c r="F16" i="66" s="1"/>
  <c r="G16" i="66" s="1"/>
  <c r="F25" i="65"/>
  <c r="F21" i="66" s="1"/>
  <c r="G21" i="66" s="1"/>
  <c r="F25" i="67"/>
  <c r="F18" i="68" s="1"/>
  <c r="G18" i="68" s="1"/>
  <c r="S33" i="69"/>
  <c r="L35" i="61"/>
  <c r="J35" i="65"/>
  <c r="N35" i="65"/>
  <c r="K36" i="65"/>
  <c r="O36" i="65"/>
  <c r="S36" i="65"/>
  <c r="P35" i="67"/>
  <c r="F15" i="67"/>
  <c r="F13" i="68" s="1"/>
  <c r="G13" i="68" s="1"/>
  <c r="F19" i="67"/>
  <c r="F15" i="68" s="1"/>
  <c r="G15" i="68" s="1"/>
  <c r="F23" i="67"/>
  <c r="F17" i="68" s="1"/>
  <c r="G17" i="68" s="1"/>
  <c r="Q33" i="69"/>
  <c r="I41" i="55"/>
  <c r="F13" i="55"/>
  <c r="I33" i="35"/>
  <c r="F15" i="35"/>
  <c r="I21" i="29"/>
  <c r="F19" i="29"/>
  <c r="F15" i="30" s="1"/>
  <c r="J44" i="19"/>
  <c r="F36" i="19"/>
  <c r="F24" i="20" s="1"/>
  <c r="G24" i="20" s="1"/>
  <c r="F15" i="17"/>
  <c r="F13" i="18" s="1"/>
  <c r="G13" i="18" s="1"/>
  <c r="J37" i="17"/>
  <c r="F23" i="15"/>
  <c r="F12" i="16"/>
  <c r="I27" i="13"/>
  <c r="F25" i="13"/>
  <c r="F18" i="14" s="1"/>
  <c r="G18" i="14" s="1"/>
  <c r="F23" i="13"/>
  <c r="F17" i="14" s="1"/>
  <c r="G17" i="14" s="1"/>
  <c r="J27" i="13"/>
  <c r="T10" i="10"/>
  <c r="I13" i="76"/>
  <c r="F12" i="48"/>
  <c r="I25" i="49"/>
  <c r="F23" i="49"/>
  <c r="F17" i="50" s="1"/>
  <c r="G17" i="50" s="1"/>
  <c r="I35" i="65"/>
  <c r="F13" i="65"/>
  <c r="I35" i="67"/>
  <c r="F13" i="67"/>
  <c r="F12" i="54"/>
  <c r="I25" i="53"/>
  <c r="F23" i="53"/>
  <c r="F15" i="54" s="1"/>
  <c r="G15" i="54" s="1"/>
  <c r="I35" i="61"/>
  <c r="F17" i="61"/>
  <c r="F14" i="62" s="1"/>
  <c r="G14" i="62" s="1"/>
  <c r="F29" i="69"/>
  <c r="F20" i="70" s="1"/>
  <c r="G20" i="70" s="1"/>
  <c r="T18" i="73"/>
  <c r="I14" i="74" s="1"/>
  <c r="M35" i="67"/>
  <c r="F21" i="65"/>
  <c r="F18" i="66" s="1"/>
  <c r="G18" i="66" s="1"/>
  <c r="T30" i="61"/>
  <c r="I20" i="62" s="1"/>
  <c r="F23" i="61"/>
  <c r="F17" i="62" s="1"/>
  <c r="G17" i="62" s="1"/>
  <c r="J47" i="57"/>
  <c r="F15" i="57"/>
  <c r="F13" i="58" s="1"/>
  <c r="G13" i="58" s="1"/>
  <c r="F21" i="55"/>
  <c r="F16" i="56" s="1"/>
  <c r="R42" i="55"/>
  <c r="M41" i="55"/>
  <c r="N21" i="51"/>
  <c r="T21" i="51" s="1"/>
  <c r="S22" i="51"/>
  <c r="K22" i="51"/>
  <c r="L25" i="49"/>
  <c r="T18" i="49"/>
  <c r="I14" i="50" s="1"/>
  <c r="N33" i="47"/>
  <c r="T32" i="45"/>
  <c r="I21" i="46" s="1"/>
  <c r="T24" i="45"/>
  <c r="I17" i="46" s="1"/>
  <c r="T16" i="45"/>
  <c r="I13" i="46" s="1"/>
  <c r="O54" i="45"/>
  <c r="R53" i="45"/>
  <c r="J53" i="45"/>
  <c r="P25" i="43"/>
  <c r="T16" i="43"/>
  <c r="I13" i="44" s="1"/>
  <c r="N18" i="41"/>
  <c r="Q17" i="41"/>
  <c r="F13" i="41"/>
  <c r="I17" i="41"/>
  <c r="R21" i="39"/>
  <c r="J21" i="39"/>
  <c r="M22" i="39"/>
  <c r="T26" i="37"/>
  <c r="I18" i="38" s="1"/>
  <c r="T16" i="37"/>
  <c r="I13" i="38" s="1"/>
  <c r="R27" i="37"/>
  <c r="J27" i="37"/>
  <c r="O33" i="35"/>
  <c r="T77" i="31"/>
  <c r="I43" i="32" s="1"/>
  <c r="F64" i="31"/>
  <c r="F37" i="32" s="1"/>
  <c r="G37" i="32" s="1"/>
  <c r="F56" i="31"/>
  <c r="F33" i="32" s="1"/>
  <c r="G33" i="32" s="1"/>
  <c r="F48" i="31"/>
  <c r="F29" i="32" s="1"/>
  <c r="T41" i="31"/>
  <c r="I25" i="32" s="1"/>
  <c r="T33" i="31"/>
  <c r="I21" i="32" s="1"/>
  <c r="T25" i="31"/>
  <c r="I17" i="32" s="1"/>
  <c r="S82" i="31"/>
  <c r="O82" i="31"/>
  <c r="K82" i="31"/>
  <c r="T20" i="27"/>
  <c r="I15" i="28" s="1"/>
  <c r="T16" i="27"/>
  <c r="I13" i="28" s="1"/>
  <c r="S37" i="25"/>
  <c r="O37" i="25"/>
  <c r="K37" i="25"/>
  <c r="T40" i="23"/>
  <c r="I25" i="24" s="1"/>
  <c r="F39" i="23"/>
  <c r="F25" i="24" s="1"/>
  <c r="S43" i="23"/>
  <c r="O43" i="23"/>
  <c r="K43" i="23"/>
  <c r="T30" i="23"/>
  <c r="I20" i="24" s="1"/>
  <c r="F21" i="23"/>
  <c r="T20" i="23"/>
  <c r="I15" i="24" s="1"/>
  <c r="F13" i="23"/>
  <c r="Q31" i="21"/>
  <c r="M31" i="21"/>
  <c r="F29" i="21"/>
  <c r="F31" i="21" s="1"/>
  <c r="M19" i="73"/>
  <c r="J20" i="73"/>
  <c r="R20" i="73"/>
  <c r="F17" i="73"/>
  <c r="F14" i="74" s="1"/>
  <c r="F27" i="69"/>
  <c r="F19" i="70" s="1"/>
  <c r="G19" i="70" s="1"/>
  <c r="F31" i="69"/>
  <c r="F21" i="70" s="1"/>
  <c r="G21" i="70" s="1"/>
  <c r="J19" i="73"/>
  <c r="N19" i="73"/>
  <c r="R19" i="73"/>
  <c r="K20" i="73"/>
  <c r="O20" i="73"/>
  <c r="S20" i="73"/>
  <c r="T16" i="73"/>
  <c r="I13" i="74" s="1"/>
  <c r="O33" i="69"/>
  <c r="R36" i="67"/>
  <c r="J36" i="65"/>
  <c r="K17" i="63"/>
  <c r="F39" i="57"/>
  <c r="F25" i="58" s="1"/>
  <c r="G25" i="58" s="1"/>
  <c r="R47" i="57"/>
  <c r="F27" i="57"/>
  <c r="F19" i="58" s="1"/>
  <c r="G19" i="58" s="1"/>
  <c r="F35" i="55"/>
  <c r="F23" i="56" s="1"/>
  <c r="G23" i="56" s="1"/>
  <c r="J42" i="55"/>
  <c r="T16" i="53"/>
  <c r="I13" i="54" s="1"/>
  <c r="O22" i="51"/>
  <c r="P25" i="49"/>
  <c r="F17" i="49"/>
  <c r="F14" i="50" s="1"/>
  <c r="G14" i="50" s="1"/>
  <c r="J33" i="47"/>
  <c r="T28" i="45"/>
  <c r="I19" i="46" s="1"/>
  <c r="T20" i="45"/>
  <c r="I15" i="46" s="1"/>
  <c r="S54" i="45"/>
  <c r="K54" i="45"/>
  <c r="N53" i="45"/>
  <c r="L25" i="43"/>
  <c r="R18" i="41"/>
  <c r="J18" i="41"/>
  <c r="M17" i="41"/>
  <c r="N21" i="39"/>
  <c r="Q22" i="39"/>
  <c r="T14" i="39"/>
  <c r="I12" i="40" s="1"/>
  <c r="F25" i="37"/>
  <c r="F18" i="38" s="1"/>
  <c r="G18" i="38" s="1"/>
  <c r="T20" i="37"/>
  <c r="I15" i="38" s="1"/>
  <c r="N27" i="37"/>
  <c r="F27" i="35"/>
  <c r="F19" i="36" s="1"/>
  <c r="F19" i="35"/>
  <c r="F15" i="36" s="1"/>
  <c r="S33" i="35"/>
  <c r="K33" i="35"/>
  <c r="F76" i="31"/>
  <c r="F43" i="32" s="1"/>
  <c r="G43" i="32" s="1"/>
  <c r="F68" i="31"/>
  <c r="F39" i="32" s="1"/>
  <c r="G39" i="32" s="1"/>
  <c r="F60" i="31"/>
  <c r="F35" i="32" s="1"/>
  <c r="G35" i="32" s="1"/>
  <c r="F52" i="31"/>
  <c r="F31" i="32" s="1"/>
  <c r="G31" i="32" s="1"/>
  <c r="F40" i="31"/>
  <c r="F25" i="32" s="1"/>
  <c r="G25" i="32" s="1"/>
  <c r="F32" i="31"/>
  <c r="F21" i="32" s="1"/>
  <c r="G21" i="32" s="1"/>
  <c r="F24" i="31"/>
  <c r="F17" i="32" s="1"/>
  <c r="G17" i="32" s="1"/>
  <c r="F18" i="31"/>
  <c r="F14" i="32" s="1"/>
  <c r="G14" i="32" s="1"/>
  <c r="Q82" i="31"/>
  <c r="M82" i="31"/>
  <c r="I82" i="31"/>
  <c r="F14" i="31"/>
  <c r="F24" i="29"/>
  <c r="T18" i="29"/>
  <c r="F17" i="29"/>
  <c r="P25" i="27"/>
  <c r="L25" i="27"/>
  <c r="Q37" i="25"/>
  <c r="M37" i="25"/>
  <c r="I37" i="25"/>
  <c r="F35" i="25"/>
  <c r="F23" i="26" s="1"/>
  <c r="G23" i="26" s="1"/>
  <c r="T30" i="25"/>
  <c r="I20" i="26" s="1"/>
  <c r="F29" i="25"/>
  <c r="F20" i="26" s="1"/>
  <c r="T24" i="25"/>
  <c r="I17" i="26" s="1"/>
  <c r="F23" i="25"/>
  <c r="F17" i="26" s="1"/>
  <c r="G17" i="26" s="1"/>
  <c r="T20" i="25"/>
  <c r="I15" i="26" s="1"/>
  <c r="F19" i="25"/>
  <c r="F15" i="26" s="1"/>
  <c r="T16" i="25"/>
  <c r="I13" i="26" s="1"/>
  <c r="F15" i="25"/>
  <c r="F13" i="26" s="1"/>
  <c r="G13" i="26" s="1"/>
  <c r="Q43" i="23"/>
  <c r="M43" i="23"/>
  <c r="F37" i="23"/>
  <c r="F24" i="24" s="1"/>
  <c r="G24" i="24" s="1"/>
  <c r="F23" i="23"/>
  <c r="F15" i="23"/>
  <c r="F13" i="24" s="1"/>
  <c r="S31" i="21"/>
  <c r="O31" i="21"/>
  <c r="K31" i="21"/>
  <c r="G12" i="70"/>
  <c r="F16" i="52"/>
  <c r="C34" i="6" s="1"/>
  <c r="G12" i="52"/>
  <c r="F12" i="46"/>
  <c r="F25" i="43"/>
  <c r="F12" i="12"/>
  <c r="F13" i="12" s="1"/>
  <c r="C14" i="6" s="1"/>
  <c r="F15" i="75"/>
  <c r="F13" i="7"/>
  <c r="F14" i="7" s="1"/>
  <c r="C12" i="6" s="1"/>
  <c r="G12" i="28"/>
  <c r="F12" i="74"/>
  <c r="F15" i="74" s="1"/>
  <c r="C46" i="6" s="1"/>
  <c r="R34" i="5"/>
  <c r="T2" i="5"/>
  <c r="G12" i="44"/>
  <c r="G18" i="44" s="1"/>
  <c r="G12" i="40"/>
  <c r="G16" i="40" s="1"/>
  <c r="F25" i="27"/>
  <c r="T18" i="71"/>
  <c r="I12" i="72"/>
  <c r="I15" i="54"/>
  <c r="I12" i="34"/>
  <c r="I15" i="44"/>
  <c r="I12" i="38"/>
  <c r="G29" i="32"/>
  <c r="I12" i="32"/>
  <c r="T28" i="21"/>
  <c r="I18" i="22"/>
  <c r="I20" i="22" s="1"/>
  <c r="T16" i="75"/>
  <c r="I16" i="76"/>
  <c r="T24" i="10"/>
  <c r="I12" i="74"/>
  <c r="I12" i="70"/>
  <c r="T36" i="67"/>
  <c r="I12" i="66"/>
  <c r="I12" i="56"/>
  <c r="I22" i="48"/>
  <c r="T18" i="41"/>
  <c r="I12" i="42"/>
  <c r="I23" i="26"/>
  <c r="T26" i="27"/>
  <c r="L8" i="14" l="1"/>
  <c r="I23" i="62"/>
  <c r="F33" i="47"/>
  <c r="T45" i="19"/>
  <c r="T42" i="55"/>
  <c r="T33" i="47"/>
  <c r="I21" i="14"/>
  <c r="T28" i="13"/>
  <c r="T48" i="57"/>
  <c r="T2" i="57" s="1"/>
  <c r="F32" i="21"/>
  <c r="F19" i="22" s="1"/>
  <c r="F20" i="22" s="1"/>
  <c r="C19" i="6" s="1"/>
  <c r="G24" i="18"/>
  <c r="T44" i="19"/>
  <c r="F19" i="73"/>
  <c r="F19" i="28"/>
  <c r="C22" i="6" s="1"/>
  <c r="F53" i="45"/>
  <c r="F26" i="24"/>
  <c r="G26" i="24" s="1"/>
  <c r="T54" i="45"/>
  <c r="T26" i="43"/>
  <c r="T26" i="53"/>
  <c r="I18" i="44"/>
  <c r="T36" i="61"/>
  <c r="T28" i="37"/>
  <c r="I17" i="16"/>
  <c r="T38" i="25"/>
  <c r="T36" i="65"/>
  <c r="T34" i="69"/>
  <c r="T24" i="15"/>
  <c r="T83" i="31"/>
  <c r="T2" i="31" s="1"/>
  <c r="T34" i="47"/>
  <c r="F16" i="40"/>
  <c r="C28" i="6" s="1"/>
  <c r="F18" i="44"/>
  <c r="C30" i="6" s="1"/>
  <c r="F21" i="51"/>
  <c r="G19" i="28"/>
  <c r="F21" i="39"/>
  <c r="F47" i="57"/>
  <c r="G24" i="26"/>
  <c r="I16" i="40"/>
  <c r="E28" i="6" s="1"/>
  <c r="T25" i="53"/>
  <c r="F17" i="16"/>
  <c r="C16" i="6" s="1"/>
  <c r="T18" i="63"/>
  <c r="J27" i="20"/>
  <c r="K27" i="20" s="1"/>
  <c r="T21" i="39"/>
  <c r="T20" i="73"/>
  <c r="F12" i="72"/>
  <c r="F13" i="72" s="1"/>
  <c r="C45" i="6" s="1"/>
  <c r="F17" i="71"/>
  <c r="T22" i="39"/>
  <c r="T22" i="51"/>
  <c r="I14" i="30"/>
  <c r="I16" i="30" s="1"/>
  <c r="E23" i="6" s="1"/>
  <c r="T22" i="29"/>
  <c r="F12" i="32"/>
  <c r="F82" i="31"/>
  <c r="G12" i="54"/>
  <c r="G17" i="54" s="1"/>
  <c r="F17" i="54"/>
  <c r="C35" i="6" s="1"/>
  <c r="F35" i="67"/>
  <c r="F12" i="68"/>
  <c r="G12" i="48"/>
  <c r="F22" i="48"/>
  <c r="F18" i="50"/>
  <c r="C33" i="6" s="1"/>
  <c r="F12" i="56"/>
  <c r="F41" i="55"/>
  <c r="F14" i="70"/>
  <c r="F33" i="69"/>
  <c r="T16" i="59"/>
  <c r="I12" i="60"/>
  <c r="I13" i="60" s="1"/>
  <c r="E38" i="6" s="1"/>
  <c r="G12" i="58"/>
  <c r="G29" i="58" s="1"/>
  <c r="F29" i="58"/>
  <c r="C37" i="6" s="1"/>
  <c r="I14" i="36"/>
  <c r="I22" i="36" s="1"/>
  <c r="E26" i="6" s="1"/>
  <c r="T34" i="35"/>
  <c r="F26" i="1"/>
  <c r="F12" i="4"/>
  <c r="F18" i="4" s="1"/>
  <c r="C11" i="6" s="1"/>
  <c r="G12" i="20"/>
  <c r="F28" i="20"/>
  <c r="C18" i="6" s="1"/>
  <c r="F37" i="25"/>
  <c r="F12" i="26"/>
  <c r="F24" i="26" s="1"/>
  <c r="C21" i="6" s="1"/>
  <c r="F12" i="76"/>
  <c r="F17" i="76" s="1"/>
  <c r="C13" i="6" s="1"/>
  <c r="F23" i="10"/>
  <c r="T38" i="17"/>
  <c r="I12" i="18"/>
  <c r="I14" i="18"/>
  <c r="I16" i="18"/>
  <c r="J16" i="18" s="1"/>
  <c r="G29" i="23"/>
  <c r="F20" i="24"/>
  <c r="G20" i="24" s="1"/>
  <c r="I18" i="50"/>
  <c r="E33" i="6" s="1"/>
  <c r="I16" i="52"/>
  <c r="E34" i="6" s="1"/>
  <c r="F17" i="63"/>
  <c r="F21" i="29"/>
  <c r="F14" i="30"/>
  <c r="F16" i="30" s="1"/>
  <c r="C23" i="6" s="1"/>
  <c r="G13" i="23"/>
  <c r="F43" i="23"/>
  <c r="F12" i="24"/>
  <c r="F16" i="24"/>
  <c r="G16" i="24" s="1"/>
  <c r="G21" i="23"/>
  <c r="F26" i="56"/>
  <c r="C36" i="6" s="1"/>
  <c r="F25" i="53"/>
  <c r="F25" i="49"/>
  <c r="F12" i="62"/>
  <c r="F35" i="61"/>
  <c r="G26" i="56"/>
  <c r="F15" i="59"/>
  <c r="F12" i="60"/>
  <c r="F12" i="38"/>
  <c r="F27" i="37"/>
  <c r="L27" i="20"/>
  <c r="G17" i="23"/>
  <c r="F14" i="24"/>
  <c r="G27" i="23"/>
  <c r="F19" i="24"/>
  <c r="G19" i="24" s="1"/>
  <c r="I24" i="24"/>
  <c r="I27" i="24" s="1"/>
  <c r="E20" i="6" s="1"/>
  <c r="T44" i="23"/>
  <c r="I17" i="4"/>
  <c r="I18" i="4" s="1"/>
  <c r="E11" i="6" s="1"/>
  <c r="T27" i="1"/>
  <c r="F27" i="13"/>
  <c r="F12" i="14"/>
  <c r="F21" i="14" s="1"/>
  <c r="C15" i="6" s="1"/>
  <c r="G21" i="14"/>
  <c r="F37" i="17"/>
  <c r="F12" i="18"/>
  <c r="F24" i="18" s="1"/>
  <c r="G19" i="23"/>
  <c r="F15" i="24"/>
  <c r="G15" i="24" s="1"/>
  <c r="F44" i="19"/>
  <c r="F14" i="64"/>
  <c r="C40" i="6" s="1"/>
  <c r="T26" i="49"/>
  <c r="G23" i="23"/>
  <c r="F17" i="24"/>
  <c r="G17" i="24" s="1"/>
  <c r="F17" i="41"/>
  <c r="F12" i="42"/>
  <c r="F35" i="65"/>
  <c r="F12" i="66"/>
  <c r="F33" i="35"/>
  <c r="F13" i="36"/>
  <c r="G18" i="50"/>
  <c r="T17" i="73"/>
  <c r="H14" i="74" s="1"/>
  <c r="T15" i="73"/>
  <c r="H13" i="74" s="1"/>
  <c r="T13" i="73"/>
  <c r="T15" i="71"/>
  <c r="T31" i="69"/>
  <c r="H21" i="70" s="1"/>
  <c r="T29" i="69"/>
  <c r="H20" i="70" s="1"/>
  <c r="T27" i="69"/>
  <c r="H19" i="70" s="1"/>
  <c r="T25" i="69"/>
  <c r="H18" i="70" s="1"/>
  <c r="T23" i="69"/>
  <c r="H17" i="70" s="1"/>
  <c r="T21" i="69"/>
  <c r="H16" i="70" s="1"/>
  <c r="T19" i="69"/>
  <c r="H15" i="70" s="1"/>
  <c r="T17" i="69"/>
  <c r="H14" i="70" s="1"/>
  <c r="T15" i="69"/>
  <c r="H13" i="70" s="1"/>
  <c r="T13" i="69"/>
  <c r="T33" i="67"/>
  <c r="H22" i="68" s="1"/>
  <c r="T31" i="67"/>
  <c r="H21" i="68" s="1"/>
  <c r="T29" i="67"/>
  <c r="H20" i="68" s="1"/>
  <c r="T27" i="67"/>
  <c r="H19" i="68" s="1"/>
  <c r="T25" i="67"/>
  <c r="H18" i="68" s="1"/>
  <c r="T15" i="63"/>
  <c r="H13" i="64" s="1"/>
  <c r="T13" i="63"/>
  <c r="T45" i="57"/>
  <c r="H28" i="58" s="1"/>
  <c r="J28" i="58" s="1"/>
  <c r="T43" i="57"/>
  <c r="H27" i="58" s="1"/>
  <c r="T41" i="57"/>
  <c r="H26" i="58" s="1"/>
  <c r="T39" i="57"/>
  <c r="H25" i="58" s="1"/>
  <c r="T37" i="57"/>
  <c r="H24" i="58" s="1"/>
  <c r="T35" i="57"/>
  <c r="H23" i="58" s="1"/>
  <c r="T33" i="57"/>
  <c r="H22" i="58" s="1"/>
  <c r="T21" i="57"/>
  <c r="H16" i="58" s="1"/>
  <c r="T19" i="57"/>
  <c r="H15" i="58" s="1"/>
  <c r="T17" i="57"/>
  <c r="H14" i="58" s="1"/>
  <c r="T15" i="57"/>
  <c r="H13" i="58" s="1"/>
  <c r="T13" i="57"/>
  <c r="T23" i="67"/>
  <c r="H17" i="68" s="1"/>
  <c r="T21" i="67"/>
  <c r="H16" i="68" s="1"/>
  <c r="T19" i="67"/>
  <c r="H15" i="68" s="1"/>
  <c r="T17" i="67"/>
  <c r="H14" i="68" s="1"/>
  <c r="T15" i="67"/>
  <c r="H13" i="68" s="1"/>
  <c r="T13" i="67"/>
  <c r="T33" i="65"/>
  <c r="H25" i="66" s="1"/>
  <c r="T31" i="65"/>
  <c r="H24" i="66" s="1"/>
  <c r="T29" i="65"/>
  <c r="H23" i="66" s="1"/>
  <c r="T27" i="65"/>
  <c r="H22" i="66" s="1"/>
  <c r="T25" i="65"/>
  <c r="H21" i="66" s="1"/>
  <c r="T23" i="65"/>
  <c r="H19" i="66" s="1"/>
  <c r="T21" i="65"/>
  <c r="H18" i="66" s="1"/>
  <c r="T19" i="65"/>
  <c r="H17" i="66" s="1"/>
  <c r="T17" i="65"/>
  <c r="H16" i="66" s="1"/>
  <c r="T15" i="65"/>
  <c r="H15" i="66" s="1"/>
  <c r="T13" i="65"/>
  <c r="T33" i="61"/>
  <c r="T31" i="61"/>
  <c r="H21" i="62" s="1"/>
  <c r="T29" i="61"/>
  <c r="H20" i="62" s="1"/>
  <c r="T27" i="61"/>
  <c r="H19" i="62" s="1"/>
  <c r="T25" i="61"/>
  <c r="H18" i="62" s="1"/>
  <c r="T23" i="61"/>
  <c r="H17" i="62" s="1"/>
  <c r="T21" i="61"/>
  <c r="H16" i="62" s="1"/>
  <c r="T19" i="61"/>
  <c r="H15" i="62" s="1"/>
  <c r="T17" i="61"/>
  <c r="H14" i="62" s="1"/>
  <c r="T15" i="61"/>
  <c r="T13" i="61"/>
  <c r="H12" i="62" s="1"/>
  <c r="T13" i="59"/>
  <c r="T31" i="57"/>
  <c r="H21" i="58" s="1"/>
  <c r="T29" i="57"/>
  <c r="H20" i="58" s="1"/>
  <c r="T27" i="57"/>
  <c r="H19" i="58" s="1"/>
  <c r="T25" i="57"/>
  <c r="H18" i="58" s="1"/>
  <c r="T23" i="57"/>
  <c r="H17" i="58" s="1"/>
  <c r="T39" i="55"/>
  <c r="H25" i="56" s="1"/>
  <c r="T37" i="55"/>
  <c r="H24" i="56" s="1"/>
  <c r="T35" i="55"/>
  <c r="H23" i="56" s="1"/>
  <c r="T33" i="55"/>
  <c r="H22" i="56" s="1"/>
  <c r="T31" i="55"/>
  <c r="H21" i="56" s="1"/>
  <c r="T29" i="55"/>
  <c r="H20" i="56" s="1"/>
  <c r="T27" i="55"/>
  <c r="H19" i="56" s="1"/>
  <c r="T25" i="55"/>
  <c r="H18" i="56" s="1"/>
  <c r="T23" i="55"/>
  <c r="H17" i="56" s="1"/>
  <c r="T21" i="55"/>
  <c r="H16" i="56" s="1"/>
  <c r="T19" i="55"/>
  <c r="H15" i="56" s="1"/>
  <c r="T19" i="51"/>
  <c r="H15" i="52" s="1"/>
  <c r="T17" i="51"/>
  <c r="H14" i="52" s="1"/>
  <c r="T15" i="51"/>
  <c r="H13" i="52" s="1"/>
  <c r="T13" i="51"/>
  <c r="H12" i="52" s="1"/>
  <c r="T31" i="47"/>
  <c r="H21" i="48" s="1"/>
  <c r="T29" i="47"/>
  <c r="H20" i="48" s="1"/>
  <c r="T27" i="47"/>
  <c r="H19" i="48" s="1"/>
  <c r="T25" i="47"/>
  <c r="H18" i="48" s="1"/>
  <c r="T23" i="47"/>
  <c r="H17" i="48" s="1"/>
  <c r="T21" i="47"/>
  <c r="H16" i="48" s="1"/>
  <c r="T19" i="47"/>
  <c r="H15" i="48" s="1"/>
  <c r="T17" i="47"/>
  <c r="H14" i="48" s="1"/>
  <c r="T15" i="47"/>
  <c r="H13" i="48" s="1"/>
  <c r="T13" i="47"/>
  <c r="H12" i="48" s="1"/>
  <c r="T17" i="55"/>
  <c r="H14" i="56" s="1"/>
  <c r="T15" i="55"/>
  <c r="H13" i="56" s="1"/>
  <c r="T13" i="55"/>
  <c r="T23" i="53"/>
  <c r="H15" i="54" s="1"/>
  <c r="L15" i="54" s="1"/>
  <c r="T21" i="53"/>
  <c r="H16" i="54" s="1"/>
  <c r="T17" i="53"/>
  <c r="H14" i="54" s="1"/>
  <c r="T15" i="53"/>
  <c r="H13" i="54" s="1"/>
  <c r="T13" i="53"/>
  <c r="H12" i="54" s="1"/>
  <c r="T23" i="49"/>
  <c r="H17" i="50" s="1"/>
  <c r="T21" i="49"/>
  <c r="T19" i="49"/>
  <c r="H15" i="50" s="1"/>
  <c r="T17" i="49"/>
  <c r="H14" i="50" s="1"/>
  <c r="T15" i="49"/>
  <c r="H13" i="50" s="1"/>
  <c r="T13" i="49"/>
  <c r="H12" i="50" s="1"/>
  <c r="T15" i="41"/>
  <c r="H13" i="42" s="1"/>
  <c r="T13" i="41"/>
  <c r="T25" i="37"/>
  <c r="H18" i="38" s="1"/>
  <c r="T23" i="37"/>
  <c r="H17" i="38" s="1"/>
  <c r="T21" i="37"/>
  <c r="H16" i="38" s="1"/>
  <c r="T19" i="37"/>
  <c r="H15" i="38" s="1"/>
  <c r="T17" i="37"/>
  <c r="H14" i="38" s="1"/>
  <c r="T15" i="37"/>
  <c r="H13" i="38" s="1"/>
  <c r="T13" i="37"/>
  <c r="T51" i="45"/>
  <c r="H31" i="46" s="1"/>
  <c r="J31" i="46" s="1"/>
  <c r="T49" i="45"/>
  <c r="H30" i="46" s="1"/>
  <c r="T47" i="45"/>
  <c r="H29" i="46" s="1"/>
  <c r="T45" i="45"/>
  <c r="H28" i="46" s="1"/>
  <c r="T43" i="45"/>
  <c r="H27" i="46" s="1"/>
  <c r="T41" i="45"/>
  <c r="H26" i="46" s="1"/>
  <c r="J26" i="46" s="1"/>
  <c r="T39" i="45"/>
  <c r="H25" i="46" s="1"/>
  <c r="T37" i="45"/>
  <c r="H24" i="46" s="1"/>
  <c r="T35" i="45"/>
  <c r="H23" i="46" s="1"/>
  <c r="T31" i="45"/>
  <c r="H21" i="46" s="1"/>
  <c r="T29" i="45"/>
  <c r="H20" i="46" s="1"/>
  <c r="T27" i="45"/>
  <c r="H19" i="46" s="1"/>
  <c r="T25" i="45"/>
  <c r="H18" i="46" s="1"/>
  <c r="T23" i="45"/>
  <c r="H17" i="46" s="1"/>
  <c r="T21" i="45"/>
  <c r="H16" i="46" s="1"/>
  <c r="T19" i="45"/>
  <c r="H15" i="46" s="1"/>
  <c r="T17" i="45"/>
  <c r="H14" i="46" s="1"/>
  <c r="T15" i="45"/>
  <c r="H13" i="46" s="1"/>
  <c r="T13" i="45"/>
  <c r="T19" i="43"/>
  <c r="T17" i="43"/>
  <c r="H14" i="44" s="1"/>
  <c r="T15" i="43"/>
  <c r="H13" i="44" s="1"/>
  <c r="T13" i="43"/>
  <c r="H12" i="44" s="1"/>
  <c r="T15" i="39"/>
  <c r="H13" i="40" s="1"/>
  <c r="T13" i="39"/>
  <c r="H12" i="40" s="1"/>
  <c r="T31" i="35"/>
  <c r="H21" i="36" s="1"/>
  <c r="T29" i="35"/>
  <c r="H20" i="36" s="1"/>
  <c r="T27" i="35"/>
  <c r="H19" i="36" s="1"/>
  <c r="T25" i="35"/>
  <c r="H18" i="36" s="1"/>
  <c r="T23" i="35"/>
  <c r="H17" i="36" s="1"/>
  <c r="T21" i="35"/>
  <c r="H16" i="36" s="1"/>
  <c r="T19" i="35"/>
  <c r="H15" i="36" s="1"/>
  <c r="T17" i="35"/>
  <c r="H14" i="36" s="1"/>
  <c r="T15" i="35"/>
  <c r="T76" i="31"/>
  <c r="H43" i="32" s="1"/>
  <c r="T74" i="31"/>
  <c r="H42" i="32" s="1"/>
  <c r="T72" i="31"/>
  <c r="H41" i="32" s="1"/>
  <c r="T44" i="31"/>
  <c r="H27" i="32" s="1"/>
  <c r="T42" i="31"/>
  <c r="H26" i="32" s="1"/>
  <c r="T40" i="31"/>
  <c r="H25" i="32" s="1"/>
  <c r="T38" i="31"/>
  <c r="H24" i="32" s="1"/>
  <c r="T36" i="31"/>
  <c r="H23" i="32" s="1"/>
  <c r="T34" i="31"/>
  <c r="H22" i="32" s="1"/>
  <c r="T32" i="31"/>
  <c r="H21" i="32" s="1"/>
  <c r="T30" i="31"/>
  <c r="H20" i="32" s="1"/>
  <c r="T28" i="31"/>
  <c r="H19" i="32" s="1"/>
  <c r="T26" i="31"/>
  <c r="H18" i="32" s="1"/>
  <c r="T24" i="31"/>
  <c r="H17" i="32" s="1"/>
  <c r="T22" i="31"/>
  <c r="H16" i="32" s="1"/>
  <c r="T20" i="31"/>
  <c r="H15" i="32" s="1"/>
  <c r="T18" i="31"/>
  <c r="H14" i="32" s="1"/>
  <c r="T16" i="31"/>
  <c r="H13" i="32" s="1"/>
  <c r="T14" i="31"/>
  <c r="T19" i="29"/>
  <c r="H15" i="30" s="1"/>
  <c r="J15" i="30" s="1"/>
  <c r="K15" i="30" s="1"/>
  <c r="L15" i="30" s="1"/>
  <c r="T17" i="29"/>
  <c r="H14" i="30" s="1"/>
  <c r="T15" i="29"/>
  <c r="H13" i="30" s="1"/>
  <c r="J13" i="30" s="1"/>
  <c r="K13" i="30" s="1"/>
  <c r="L13" i="30" s="1"/>
  <c r="T35" i="25"/>
  <c r="T33" i="25"/>
  <c r="H22" i="26" s="1"/>
  <c r="T29" i="25"/>
  <c r="H20" i="26" s="1"/>
  <c r="T25" i="25"/>
  <c r="H18" i="26" s="1"/>
  <c r="T23" i="25"/>
  <c r="H17" i="26" s="1"/>
  <c r="T21" i="25"/>
  <c r="H16" i="26" s="1"/>
  <c r="T19" i="25"/>
  <c r="H15" i="26" s="1"/>
  <c r="T17" i="25"/>
  <c r="H14" i="26" s="1"/>
  <c r="T15" i="25"/>
  <c r="H13" i="26" s="1"/>
  <c r="T13" i="25"/>
  <c r="H12" i="26" s="1"/>
  <c r="T39" i="23"/>
  <c r="H25" i="24" s="1"/>
  <c r="T37" i="23"/>
  <c r="H24" i="24" s="1"/>
  <c r="T29" i="23"/>
  <c r="H20" i="24" s="1"/>
  <c r="T23" i="23"/>
  <c r="H17" i="24" s="1"/>
  <c r="T19" i="23"/>
  <c r="H15" i="24" s="1"/>
  <c r="T15" i="23"/>
  <c r="H13" i="24" s="1"/>
  <c r="T13" i="23"/>
  <c r="H12" i="24" s="1"/>
  <c r="T31" i="21"/>
  <c r="T23" i="21"/>
  <c r="H17" i="22" s="1"/>
  <c r="T17" i="21"/>
  <c r="H14" i="22" s="1"/>
  <c r="T40" i="19"/>
  <c r="H26" i="20" s="1"/>
  <c r="T35" i="19"/>
  <c r="I23" i="20" s="1"/>
  <c r="T32" i="19"/>
  <c r="H22" i="20" s="1"/>
  <c r="T23" i="17"/>
  <c r="H17" i="18" s="1"/>
  <c r="T21" i="15"/>
  <c r="H16" i="16" s="1"/>
  <c r="T19" i="15"/>
  <c r="H15" i="16" s="1"/>
  <c r="T17" i="15"/>
  <c r="H14" i="16" s="1"/>
  <c r="T15" i="15"/>
  <c r="H13" i="16" s="1"/>
  <c r="T13" i="15"/>
  <c r="U17" i="11"/>
  <c r="D48" i="6" s="1"/>
  <c r="T13" i="33"/>
  <c r="T78" i="31"/>
  <c r="H44" i="32" s="1"/>
  <c r="T70" i="31"/>
  <c r="H40" i="32" s="1"/>
  <c r="T68" i="31"/>
  <c r="H39" i="32" s="1"/>
  <c r="T66" i="31"/>
  <c r="H38" i="32" s="1"/>
  <c r="T64" i="31"/>
  <c r="H37" i="32" s="1"/>
  <c r="T62" i="31"/>
  <c r="H36" i="32" s="1"/>
  <c r="T60" i="31"/>
  <c r="H35" i="32" s="1"/>
  <c r="T58" i="31"/>
  <c r="H34" i="32" s="1"/>
  <c r="T56" i="31"/>
  <c r="H33" i="32" s="1"/>
  <c r="T54" i="31"/>
  <c r="H32" i="32" s="1"/>
  <c r="T52" i="31"/>
  <c r="H31" i="32" s="1"/>
  <c r="T50" i="31"/>
  <c r="H30" i="32" s="1"/>
  <c r="T48" i="31"/>
  <c r="H29" i="32" s="1"/>
  <c r="T46" i="31"/>
  <c r="H28" i="32" s="1"/>
  <c r="T13" i="29"/>
  <c r="T21" i="27"/>
  <c r="T19" i="27"/>
  <c r="H15" i="28" s="1"/>
  <c r="T17" i="27"/>
  <c r="H14" i="28" s="1"/>
  <c r="T15" i="27"/>
  <c r="H13" i="28" s="1"/>
  <c r="T13" i="27"/>
  <c r="H12" i="28" s="1"/>
  <c r="T41" i="23"/>
  <c r="T33" i="23"/>
  <c r="H22" i="24" s="1"/>
  <c r="T27" i="23"/>
  <c r="H19" i="24" s="1"/>
  <c r="T21" i="23"/>
  <c r="H16" i="24" s="1"/>
  <c r="T17" i="23"/>
  <c r="H14" i="24" s="1"/>
  <c r="T25" i="21"/>
  <c r="H18" i="22" s="1"/>
  <c r="J18" i="22" s="1"/>
  <c r="K18" i="22" s="1"/>
  <c r="T21" i="21"/>
  <c r="H16" i="22" s="1"/>
  <c r="T19" i="21"/>
  <c r="H15" i="22" s="1"/>
  <c r="T15" i="21"/>
  <c r="T13" i="21"/>
  <c r="H12" i="22" s="1"/>
  <c r="T38" i="19"/>
  <c r="H25" i="20" s="1"/>
  <c r="T36" i="19"/>
  <c r="H24" i="20" s="1"/>
  <c r="T34" i="19"/>
  <c r="H23" i="20" s="1"/>
  <c r="J23" i="20" s="1"/>
  <c r="K23" i="20" s="1"/>
  <c r="T30" i="19"/>
  <c r="H21" i="20" s="1"/>
  <c r="T28" i="19"/>
  <c r="H20" i="20" s="1"/>
  <c r="T26" i="19"/>
  <c r="H19" i="20" s="1"/>
  <c r="T24" i="19"/>
  <c r="H18" i="20" s="1"/>
  <c r="T22" i="19"/>
  <c r="H17" i="20" s="1"/>
  <c r="T20" i="19"/>
  <c r="H16" i="20" s="1"/>
  <c r="T18" i="19"/>
  <c r="H15" i="20" s="1"/>
  <c r="T16" i="19"/>
  <c r="H14" i="20" s="1"/>
  <c r="T14" i="19"/>
  <c r="H13" i="20" s="1"/>
  <c r="T12" i="19"/>
  <c r="H12" i="20" s="1"/>
  <c r="T35" i="17"/>
  <c r="H22" i="18" s="1"/>
  <c r="T33" i="17"/>
  <c r="H21" i="18" s="1"/>
  <c r="T31" i="17"/>
  <c r="H20" i="18" s="1"/>
  <c r="T29" i="17"/>
  <c r="H19" i="18" s="1"/>
  <c r="T27" i="17"/>
  <c r="H18" i="18" s="1"/>
  <c r="T25" i="17"/>
  <c r="T19" i="17"/>
  <c r="H15" i="18" s="1"/>
  <c r="T17" i="17"/>
  <c r="H14" i="18" s="1"/>
  <c r="T15" i="17"/>
  <c r="H13" i="18" s="1"/>
  <c r="T13" i="17"/>
  <c r="U13" i="11"/>
  <c r="H12" i="12" s="1"/>
  <c r="T21" i="10"/>
  <c r="T19" i="10"/>
  <c r="H15" i="76" s="1"/>
  <c r="T17" i="10"/>
  <c r="H14" i="76" s="1"/>
  <c r="T15" i="10"/>
  <c r="H13" i="76" s="1"/>
  <c r="T13" i="10"/>
  <c r="H12" i="76" s="1"/>
  <c r="T24" i="1"/>
  <c r="H17" i="4" s="1"/>
  <c r="T22" i="1"/>
  <c r="H16" i="4" s="1"/>
  <c r="T20" i="1"/>
  <c r="H15" i="4" s="1"/>
  <c r="T18" i="1"/>
  <c r="T16" i="1"/>
  <c r="H13" i="4" s="1"/>
  <c r="T14" i="1"/>
  <c r="H12" i="4" s="1"/>
  <c r="T25" i="13"/>
  <c r="T23" i="13"/>
  <c r="H17" i="14" s="1"/>
  <c r="T21" i="13"/>
  <c r="H16" i="14" s="1"/>
  <c r="T19" i="13"/>
  <c r="H15" i="14" s="1"/>
  <c r="T17" i="13"/>
  <c r="H14" i="14" s="1"/>
  <c r="T15" i="13"/>
  <c r="H13" i="14" s="1"/>
  <c r="T13" i="13"/>
  <c r="H12" i="14" s="1"/>
  <c r="T13" i="75"/>
  <c r="G12" i="46"/>
  <c r="G32" i="46" s="1"/>
  <c r="F32" i="46"/>
  <c r="C31" i="6" s="1"/>
  <c r="I19" i="28"/>
  <c r="I24" i="26"/>
  <c r="I14" i="42"/>
  <c r="E32" i="6"/>
  <c r="I29" i="58"/>
  <c r="I23" i="68"/>
  <c r="E15" i="6"/>
  <c r="I14" i="7"/>
  <c r="I46" i="32"/>
  <c r="I20" i="38"/>
  <c r="E39" i="6"/>
  <c r="I13" i="72"/>
  <c r="E16" i="6"/>
  <c r="E19" i="6"/>
  <c r="E30" i="6"/>
  <c r="I32" i="46"/>
  <c r="I26" i="56"/>
  <c r="I26" i="66"/>
  <c r="I22" i="70"/>
  <c r="I15" i="74"/>
  <c r="I17" i="76"/>
  <c r="I13" i="34"/>
  <c r="I17" i="54"/>
  <c r="T28" i="53"/>
  <c r="F33" i="21" l="1"/>
  <c r="J14" i="30"/>
  <c r="K14" i="30" s="1"/>
  <c r="L14" i="30" s="1"/>
  <c r="G28" i="20"/>
  <c r="K28" i="58"/>
  <c r="L28" i="58"/>
  <c r="L18" i="22"/>
  <c r="F22" i="36"/>
  <c r="C26" i="6" s="1"/>
  <c r="G13" i="36"/>
  <c r="G22" i="36" s="1"/>
  <c r="G12" i="66"/>
  <c r="G26" i="66" s="1"/>
  <c r="F26" i="66"/>
  <c r="C41" i="6" s="1"/>
  <c r="F14" i="42"/>
  <c r="C29" i="6" s="1"/>
  <c r="G12" i="42"/>
  <c r="G14" i="42" s="1"/>
  <c r="F20" i="38"/>
  <c r="C27" i="6" s="1"/>
  <c r="G12" i="38"/>
  <c r="G20" i="38" s="1"/>
  <c r="I24" i="18"/>
  <c r="E17" i="6" s="1"/>
  <c r="G22" i="48"/>
  <c r="C32" i="6"/>
  <c r="G12" i="68"/>
  <c r="G23" i="68" s="1"/>
  <c r="F23" i="68"/>
  <c r="C42" i="6" s="1"/>
  <c r="C17" i="6"/>
  <c r="F28" i="18"/>
  <c r="F13" i="60"/>
  <c r="C38" i="6" s="1"/>
  <c r="G12" i="60"/>
  <c r="G13" i="60" s="1"/>
  <c r="F23" i="62"/>
  <c r="C39" i="6" s="1"/>
  <c r="G12" i="62"/>
  <c r="G23" i="62" s="1"/>
  <c r="F27" i="24"/>
  <c r="C20" i="6" s="1"/>
  <c r="G12" i="24"/>
  <c r="G27" i="24" s="1"/>
  <c r="G43" i="23"/>
  <c r="G14" i="70"/>
  <c r="G22" i="70" s="1"/>
  <c r="F22" i="70"/>
  <c r="C44" i="6" s="1"/>
  <c r="G12" i="32"/>
  <c r="F46" i="32"/>
  <c r="C24" i="6" s="1"/>
  <c r="J15" i="54"/>
  <c r="K15" i="54" s="1"/>
  <c r="T15" i="75"/>
  <c r="H13" i="7"/>
  <c r="J13" i="14"/>
  <c r="K13" i="14" s="1"/>
  <c r="L13" i="14"/>
  <c r="J15" i="14"/>
  <c r="K15" i="14" s="1"/>
  <c r="L15" i="14"/>
  <c r="J17" i="14"/>
  <c r="K17" i="14" s="1"/>
  <c r="L17" i="14"/>
  <c r="L12" i="4"/>
  <c r="J12" i="4"/>
  <c r="K12" i="4" s="1"/>
  <c r="T26" i="1"/>
  <c r="H14" i="4"/>
  <c r="J16" i="4"/>
  <c r="K16" i="4" s="1"/>
  <c r="L16" i="4"/>
  <c r="L12" i="76"/>
  <c r="J12" i="76"/>
  <c r="K12" i="76" s="1"/>
  <c r="J14" i="76"/>
  <c r="K14" i="76" s="1"/>
  <c r="L14" i="76"/>
  <c r="H16" i="76"/>
  <c r="T23" i="10"/>
  <c r="T37" i="17"/>
  <c r="H12" i="18"/>
  <c r="L14" i="18"/>
  <c r="J14" i="18"/>
  <c r="K14" i="18" s="1"/>
  <c r="J19" i="18"/>
  <c r="K19" i="18" s="1"/>
  <c r="L19" i="18"/>
  <c r="J21" i="18"/>
  <c r="K21" i="18" s="1"/>
  <c r="L21" i="18"/>
  <c r="H28" i="20"/>
  <c r="L12" i="20"/>
  <c r="J12" i="20"/>
  <c r="K12" i="20" s="1"/>
  <c r="L14" i="20"/>
  <c r="J14" i="20"/>
  <c r="K14" i="20" s="1"/>
  <c r="L16" i="20"/>
  <c r="J16" i="20"/>
  <c r="K16" i="20" s="1"/>
  <c r="L18" i="20"/>
  <c r="J18" i="20"/>
  <c r="K18" i="20" s="1"/>
  <c r="J20" i="20"/>
  <c r="K20" i="20" s="1"/>
  <c r="L20" i="20"/>
  <c r="L25" i="20"/>
  <c r="J25" i="20"/>
  <c r="K25" i="20" s="1"/>
  <c r="T27" i="21"/>
  <c r="H13" i="22"/>
  <c r="J16" i="22"/>
  <c r="K16" i="22" s="1"/>
  <c r="L16" i="22"/>
  <c r="J14" i="24"/>
  <c r="K14" i="24" s="1"/>
  <c r="L14" i="24"/>
  <c r="L19" i="24"/>
  <c r="J19" i="24"/>
  <c r="K19" i="24" s="1"/>
  <c r="T43" i="23"/>
  <c r="H26" i="24"/>
  <c r="H27" i="24" s="1"/>
  <c r="L13" i="28"/>
  <c r="J13" i="28"/>
  <c r="K13" i="28" s="1"/>
  <c r="J15" i="28"/>
  <c r="K15" i="28" s="1"/>
  <c r="L15" i="28"/>
  <c r="H12" i="30"/>
  <c r="T21" i="29"/>
  <c r="J29" i="32"/>
  <c r="K29" i="32" s="1"/>
  <c r="L29" i="32"/>
  <c r="J31" i="32"/>
  <c r="K31" i="32" s="1"/>
  <c r="L31" i="32"/>
  <c r="J33" i="32"/>
  <c r="K33" i="32" s="1"/>
  <c r="L33" i="32"/>
  <c r="J35" i="32"/>
  <c r="K35" i="32" s="1"/>
  <c r="L35" i="32"/>
  <c r="J37" i="32"/>
  <c r="K37" i="32" s="1"/>
  <c r="L37" i="32"/>
  <c r="J39" i="32"/>
  <c r="K39" i="32" s="1"/>
  <c r="L39" i="32"/>
  <c r="J44" i="32"/>
  <c r="K44" i="32" s="1"/>
  <c r="L44" i="32"/>
  <c r="J13" i="16"/>
  <c r="K13" i="16" s="1"/>
  <c r="L13" i="16"/>
  <c r="J15" i="16"/>
  <c r="K15" i="16" s="1"/>
  <c r="L15" i="16"/>
  <c r="J17" i="18"/>
  <c r="K17" i="18" s="1"/>
  <c r="L17" i="18"/>
  <c r="L23" i="20"/>
  <c r="I28" i="20"/>
  <c r="L14" i="22"/>
  <c r="J14" i="22"/>
  <c r="K14" i="22" s="1"/>
  <c r="T32" i="21"/>
  <c r="H19" i="22" s="1"/>
  <c r="J19" i="22" s="1"/>
  <c r="L13" i="24"/>
  <c r="J13" i="24"/>
  <c r="K13" i="24" s="1"/>
  <c r="L17" i="24"/>
  <c r="J17" i="24"/>
  <c r="K17" i="24" s="1"/>
  <c r="L24" i="24"/>
  <c r="J24" i="24"/>
  <c r="K24" i="24" s="1"/>
  <c r="J12" i="26"/>
  <c r="K12" i="26" s="1"/>
  <c r="L12" i="26"/>
  <c r="J14" i="26"/>
  <c r="K14" i="26" s="1"/>
  <c r="L14" i="26"/>
  <c r="J16" i="26"/>
  <c r="K16" i="26" s="1"/>
  <c r="L16" i="26"/>
  <c r="J18" i="26"/>
  <c r="K18" i="26" s="1"/>
  <c r="L18" i="26"/>
  <c r="L22" i="26"/>
  <c r="J22" i="26"/>
  <c r="K22" i="26" s="1"/>
  <c r="L13" i="32"/>
  <c r="J13" i="32"/>
  <c r="K13" i="32" s="1"/>
  <c r="L15" i="32"/>
  <c r="J15" i="32"/>
  <c r="K15" i="32" s="1"/>
  <c r="J17" i="32"/>
  <c r="K17" i="32" s="1"/>
  <c r="L17" i="32"/>
  <c r="L19" i="32"/>
  <c r="J19" i="32"/>
  <c r="K19" i="32" s="1"/>
  <c r="L21" i="32"/>
  <c r="J21" i="32"/>
  <c r="K21" i="32" s="1"/>
  <c r="L23" i="32"/>
  <c r="J23" i="32"/>
  <c r="K23" i="32" s="1"/>
  <c r="J25" i="32"/>
  <c r="K25" i="32" s="1"/>
  <c r="L25" i="32"/>
  <c r="L27" i="32"/>
  <c r="J27" i="32"/>
  <c r="K27" i="32" s="1"/>
  <c r="J42" i="32"/>
  <c r="K42" i="32" s="1"/>
  <c r="L42" i="32"/>
  <c r="H13" i="36"/>
  <c r="T33" i="35"/>
  <c r="L15" i="36"/>
  <c r="J15" i="36"/>
  <c r="K15" i="36" s="1"/>
  <c r="J17" i="36"/>
  <c r="K17" i="36" s="1"/>
  <c r="L17" i="36"/>
  <c r="J19" i="36"/>
  <c r="K19" i="36" s="1"/>
  <c r="L19" i="36"/>
  <c r="J21" i="36"/>
  <c r="K21" i="36" s="1"/>
  <c r="L21" i="36"/>
  <c r="L13" i="40"/>
  <c r="J13" i="40"/>
  <c r="K13" i="40" s="1"/>
  <c r="L13" i="44"/>
  <c r="J13" i="44"/>
  <c r="K13" i="44" s="1"/>
  <c r="H15" i="44"/>
  <c r="H18" i="44" s="1"/>
  <c r="T25" i="43"/>
  <c r="L13" i="46"/>
  <c r="J13" i="46"/>
  <c r="K13" i="46" s="1"/>
  <c r="J15" i="46"/>
  <c r="K15" i="46" s="1"/>
  <c r="L15" i="46"/>
  <c r="L17" i="46"/>
  <c r="J17" i="46"/>
  <c r="K17" i="46" s="1"/>
  <c r="J19" i="46"/>
  <c r="K19" i="46" s="1"/>
  <c r="L19" i="46"/>
  <c r="L21" i="46"/>
  <c r="J21" i="46"/>
  <c r="K21" i="46" s="1"/>
  <c r="J24" i="46"/>
  <c r="K24" i="46" s="1"/>
  <c r="L24" i="46"/>
  <c r="J28" i="46"/>
  <c r="K28" i="46" s="1"/>
  <c r="L28" i="46"/>
  <c r="J30" i="46"/>
  <c r="K30" i="46" s="1"/>
  <c r="L30" i="46"/>
  <c r="T27" i="37"/>
  <c r="H12" i="38"/>
  <c r="L14" i="38"/>
  <c r="J14" i="38"/>
  <c r="K14" i="38" s="1"/>
  <c r="J16" i="38"/>
  <c r="K16" i="38" s="1"/>
  <c r="L16" i="38"/>
  <c r="J18" i="38"/>
  <c r="K18" i="38" s="1"/>
  <c r="L18" i="38"/>
  <c r="J13" i="42"/>
  <c r="K13" i="42" s="1"/>
  <c r="L13" i="42"/>
  <c r="L13" i="50"/>
  <c r="J13" i="50"/>
  <c r="K13" i="50" s="1"/>
  <c r="J15" i="50"/>
  <c r="K15" i="50" s="1"/>
  <c r="L15" i="50"/>
  <c r="J17" i="50"/>
  <c r="K17" i="50" s="1"/>
  <c r="L17" i="50"/>
  <c r="J13" i="54"/>
  <c r="K13" i="54" s="1"/>
  <c r="L13" i="54"/>
  <c r="L16" i="54"/>
  <c r="J16" i="54"/>
  <c r="K16" i="54" s="1"/>
  <c r="T41" i="55"/>
  <c r="H12" i="56"/>
  <c r="J14" i="56"/>
  <c r="K14" i="56" s="1"/>
  <c r="L14" i="56"/>
  <c r="J13" i="48"/>
  <c r="K13" i="48" s="1"/>
  <c r="L13" i="48"/>
  <c r="J15" i="48"/>
  <c r="K15" i="48" s="1"/>
  <c r="L15" i="48"/>
  <c r="J17" i="48"/>
  <c r="K17" i="48" s="1"/>
  <c r="L17" i="48"/>
  <c r="J19" i="48"/>
  <c r="K19" i="48" s="1"/>
  <c r="L19" i="48"/>
  <c r="L21" i="48"/>
  <c r="J21" i="48"/>
  <c r="K21" i="48" s="1"/>
  <c r="J13" i="52"/>
  <c r="K13" i="52" s="1"/>
  <c r="L13" i="52"/>
  <c r="J15" i="52"/>
  <c r="K15" i="52" s="1"/>
  <c r="L15" i="52"/>
  <c r="J16" i="56"/>
  <c r="K16" i="56" s="1"/>
  <c r="L16" i="56"/>
  <c r="J18" i="56"/>
  <c r="K18" i="56" s="1"/>
  <c r="L18" i="56"/>
  <c r="J20" i="56"/>
  <c r="K20" i="56" s="1"/>
  <c r="L20" i="56"/>
  <c r="J22" i="56"/>
  <c r="K22" i="56" s="1"/>
  <c r="L22" i="56"/>
  <c r="J24" i="56"/>
  <c r="K24" i="56" s="1"/>
  <c r="L24" i="56"/>
  <c r="L17" i="58"/>
  <c r="J17" i="58"/>
  <c r="J19" i="58"/>
  <c r="L19" i="58"/>
  <c r="J21" i="58"/>
  <c r="L21" i="58"/>
  <c r="L12" i="62"/>
  <c r="J12" i="62"/>
  <c r="K12" i="62" s="1"/>
  <c r="L14" i="62"/>
  <c r="J14" i="62"/>
  <c r="K14" i="62" s="1"/>
  <c r="L16" i="62"/>
  <c r="J16" i="62"/>
  <c r="K16" i="62" s="1"/>
  <c r="J18" i="62"/>
  <c r="K18" i="62" s="1"/>
  <c r="L18" i="62"/>
  <c r="J20" i="62"/>
  <c r="K20" i="62" s="1"/>
  <c r="L20" i="62"/>
  <c r="H22" i="62"/>
  <c r="T35" i="61"/>
  <c r="L15" i="66"/>
  <c r="J15" i="66"/>
  <c r="K15" i="66" s="1"/>
  <c r="L17" i="66"/>
  <c r="J17" i="66"/>
  <c r="K17" i="66" s="1"/>
  <c r="L19" i="66"/>
  <c r="J19" i="66"/>
  <c r="K19" i="66" s="1"/>
  <c r="L22" i="66"/>
  <c r="J22" i="66"/>
  <c r="K22" i="66" s="1"/>
  <c r="L24" i="66"/>
  <c r="J24" i="66"/>
  <c r="K24" i="66" s="1"/>
  <c r="T35" i="67"/>
  <c r="H12" i="68"/>
  <c r="L14" i="68"/>
  <c r="J14" i="68"/>
  <c r="K14" i="68" s="1"/>
  <c r="L16" i="68"/>
  <c r="J16" i="68"/>
  <c r="K16" i="68" s="1"/>
  <c r="T47" i="57"/>
  <c r="H12" i="58"/>
  <c r="J14" i="58"/>
  <c r="L14" i="58"/>
  <c r="J16" i="58"/>
  <c r="L16" i="58"/>
  <c r="L23" i="58"/>
  <c r="J23" i="58"/>
  <c r="L25" i="58"/>
  <c r="J25" i="58"/>
  <c r="L27" i="58"/>
  <c r="J27" i="58"/>
  <c r="T17" i="63"/>
  <c r="H12" i="64"/>
  <c r="L18" i="68"/>
  <c r="J18" i="68"/>
  <c r="K18" i="68" s="1"/>
  <c r="J20" i="68"/>
  <c r="K20" i="68" s="1"/>
  <c r="L20" i="68"/>
  <c r="J22" i="68"/>
  <c r="K22" i="68" s="1"/>
  <c r="L22" i="68"/>
  <c r="Q13" i="70"/>
  <c r="J13" i="70"/>
  <c r="K13" i="70" s="1"/>
  <c r="L13" i="70"/>
  <c r="Q15" i="70"/>
  <c r="J15" i="70"/>
  <c r="K15" i="70" s="1"/>
  <c r="L15" i="70"/>
  <c r="Q17" i="70"/>
  <c r="L17" i="70"/>
  <c r="J17" i="70"/>
  <c r="K17" i="70" s="1"/>
  <c r="J19" i="70"/>
  <c r="K19" i="70" s="1"/>
  <c r="Q19" i="70"/>
  <c r="L19" i="70"/>
  <c r="J21" i="70"/>
  <c r="K21" i="70" s="1"/>
  <c r="Q21" i="70"/>
  <c r="L21" i="70"/>
  <c r="T19" i="73"/>
  <c r="H12" i="74"/>
  <c r="J14" i="74"/>
  <c r="K14" i="74" s="1"/>
  <c r="L14" i="74"/>
  <c r="L12" i="14"/>
  <c r="J12" i="14"/>
  <c r="K12" i="14" s="1"/>
  <c r="J14" i="14"/>
  <c r="K14" i="14" s="1"/>
  <c r="L14" i="14"/>
  <c r="J16" i="14"/>
  <c r="K16" i="14" s="1"/>
  <c r="L16" i="14"/>
  <c r="H18" i="14"/>
  <c r="T27" i="13"/>
  <c r="J13" i="4"/>
  <c r="K13" i="4" s="1"/>
  <c r="L13" i="4"/>
  <c r="L15" i="4"/>
  <c r="J15" i="4"/>
  <c r="K15" i="4" s="1"/>
  <c r="L17" i="4"/>
  <c r="J17" i="4"/>
  <c r="K17" i="4" s="1"/>
  <c r="L13" i="76"/>
  <c r="J13" i="76"/>
  <c r="K13" i="76" s="1"/>
  <c r="L15" i="76"/>
  <c r="J15" i="76"/>
  <c r="K15" i="76" s="1"/>
  <c r="H13" i="12"/>
  <c r="L12" i="12"/>
  <c r="J12" i="12"/>
  <c r="K12" i="12" s="1"/>
  <c r="J13" i="18"/>
  <c r="K13" i="18" s="1"/>
  <c r="L13" i="18"/>
  <c r="J15" i="18"/>
  <c r="K15" i="18" s="1"/>
  <c r="L15" i="18"/>
  <c r="J18" i="18"/>
  <c r="K18" i="18" s="1"/>
  <c r="L18" i="18"/>
  <c r="J20" i="18"/>
  <c r="K20" i="18" s="1"/>
  <c r="L20" i="18"/>
  <c r="J22" i="18"/>
  <c r="K22" i="18" s="1"/>
  <c r="L22" i="18"/>
  <c r="J13" i="20"/>
  <c r="K13" i="20" s="1"/>
  <c r="L13" i="20"/>
  <c r="J15" i="20"/>
  <c r="K15" i="20" s="1"/>
  <c r="L15" i="20"/>
  <c r="J17" i="20"/>
  <c r="K17" i="20" s="1"/>
  <c r="L17" i="20"/>
  <c r="J19" i="20"/>
  <c r="K19" i="20" s="1"/>
  <c r="L19" i="20"/>
  <c r="J21" i="20"/>
  <c r="K21" i="20" s="1"/>
  <c r="L21" i="20"/>
  <c r="J24" i="20"/>
  <c r="K24" i="20" s="1"/>
  <c r="L24" i="20"/>
  <c r="J12" i="22"/>
  <c r="K12" i="22" s="1"/>
  <c r="L12" i="22"/>
  <c r="L15" i="22"/>
  <c r="J15" i="22"/>
  <c r="K15" i="22" s="1"/>
  <c r="J16" i="24"/>
  <c r="K16" i="24" s="1"/>
  <c r="L16" i="24"/>
  <c r="L22" i="24"/>
  <c r="J22" i="24"/>
  <c r="K22" i="24" s="1"/>
  <c r="J12" i="28"/>
  <c r="K12" i="28" s="1"/>
  <c r="L12" i="28"/>
  <c r="J14" i="28"/>
  <c r="K14" i="28" s="1"/>
  <c r="L14" i="28"/>
  <c r="H16" i="28"/>
  <c r="H19" i="28" s="1"/>
  <c r="T25" i="27"/>
  <c r="J28" i="32"/>
  <c r="K28" i="32" s="1"/>
  <c r="L28" i="32"/>
  <c r="L30" i="32"/>
  <c r="J30" i="32"/>
  <c r="K30" i="32" s="1"/>
  <c r="L32" i="32"/>
  <c r="J32" i="32"/>
  <c r="K32" i="32" s="1"/>
  <c r="L34" i="32"/>
  <c r="J34" i="32"/>
  <c r="K34" i="32" s="1"/>
  <c r="L36" i="32"/>
  <c r="J36" i="32"/>
  <c r="K36" i="32" s="1"/>
  <c r="L38" i="32"/>
  <c r="J38" i="32"/>
  <c r="K38" i="32" s="1"/>
  <c r="J40" i="32"/>
  <c r="K40" i="32" s="1"/>
  <c r="L40" i="32"/>
  <c r="H12" i="34"/>
  <c r="T15" i="33"/>
  <c r="T23" i="15"/>
  <c r="H12" i="16"/>
  <c r="J14" i="16"/>
  <c r="K14" i="16" s="1"/>
  <c r="L14" i="16"/>
  <c r="J16" i="16"/>
  <c r="K16" i="16" s="1"/>
  <c r="L16" i="16"/>
  <c r="L22" i="20"/>
  <c r="J22" i="20"/>
  <c r="K22" i="20" s="1"/>
  <c r="L26" i="20"/>
  <c r="J26" i="20"/>
  <c r="K26" i="20" s="1"/>
  <c r="J17" i="22"/>
  <c r="K17" i="22" s="1"/>
  <c r="L17" i="22"/>
  <c r="L12" i="24"/>
  <c r="J12" i="24"/>
  <c r="K12" i="24" s="1"/>
  <c r="L15" i="24"/>
  <c r="J15" i="24"/>
  <c r="K15" i="24" s="1"/>
  <c r="L20" i="24"/>
  <c r="J20" i="24"/>
  <c r="K20" i="24" s="1"/>
  <c r="J25" i="24"/>
  <c r="K25" i="24" s="1"/>
  <c r="L25" i="24"/>
  <c r="J13" i="26"/>
  <c r="K13" i="26" s="1"/>
  <c r="L13" i="26"/>
  <c r="J15" i="26"/>
  <c r="K15" i="26" s="1"/>
  <c r="L15" i="26"/>
  <c r="J17" i="26"/>
  <c r="K17" i="26" s="1"/>
  <c r="L17" i="26"/>
  <c r="J20" i="26"/>
  <c r="K20" i="26" s="1"/>
  <c r="L20" i="26"/>
  <c r="T37" i="25"/>
  <c r="H23" i="26"/>
  <c r="H24" i="26" s="1"/>
  <c r="H12" i="32"/>
  <c r="T82" i="31"/>
  <c r="L14" i="32"/>
  <c r="J14" i="32"/>
  <c r="K14" i="32" s="1"/>
  <c r="J16" i="32"/>
  <c r="K16" i="32" s="1"/>
  <c r="L16" i="32"/>
  <c r="L18" i="32"/>
  <c r="J18" i="32"/>
  <c r="K18" i="32" s="1"/>
  <c r="L20" i="32"/>
  <c r="J20" i="32"/>
  <c r="K20" i="32" s="1"/>
  <c r="L22" i="32"/>
  <c r="J22" i="32"/>
  <c r="K22" i="32" s="1"/>
  <c r="L24" i="32"/>
  <c r="J24" i="32"/>
  <c r="K24" i="32" s="1"/>
  <c r="L26" i="32"/>
  <c r="J26" i="32"/>
  <c r="K26" i="32" s="1"/>
  <c r="L41" i="32"/>
  <c r="J41" i="32"/>
  <c r="K41" i="32" s="1"/>
  <c r="J43" i="32"/>
  <c r="K43" i="32" s="1"/>
  <c r="L43" i="32"/>
  <c r="J14" i="36"/>
  <c r="K14" i="36" s="1"/>
  <c r="L14" i="36"/>
  <c r="L16" i="36"/>
  <c r="J16" i="36"/>
  <c r="K16" i="36" s="1"/>
  <c r="L18" i="36"/>
  <c r="J18" i="36"/>
  <c r="K18" i="36" s="1"/>
  <c r="J20" i="36"/>
  <c r="K20" i="36" s="1"/>
  <c r="L20" i="36"/>
  <c r="H16" i="40"/>
  <c r="J12" i="40"/>
  <c r="L12" i="40"/>
  <c r="L12" i="44"/>
  <c r="J12" i="44"/>
  <c r="K12" i="44" s="1"/>
  <c r="L14" i="44"/>
  <c r="J14" i="44"/>
  <c r="K14" i="44" s="1"/>
  <c r="T53" i="45"/>
  <c r="H12" i="46"/>
  <c r="J14" i="46"/>
  <c r="K14" i="46" s="1"/>
  <c r="L14" i="46"/>
  <c r="J16" i="46"/>
  <c r="K16" i="46" s="1"/>
  <c r="L16" i="46"/>
  <c r="J18" i="46"/>
  <c r="K18" i="46" s="1"/>
  <c r="L18" i="46"/>
  <c r="J20" i="46"/>
  <c r="K20" i="46" s="1"/>
  <c r="L20" i="46"/>
  <c r="J23" i="46"/>
  <c r="K23" i="46" s="1"/>
  <c r="L23" i="46"/>
  <c r="J25" i="46"/>
  <c r="K25" i="46" s="1"/>
  <c r="L25" i="46"/>
  <c r="J27" i="46"/>
  <c r="K27" i="46" s="1"/>
  <c r="L27" i="46"/>
  <c r="J29" i="46"/>
  <c r="K29" i="46" s="1"/>
  <c r="L29" i="46"/>
  <c r="L13" i="38"/>
  <c r="J13" i="38"/>
  <c r="K13" i="38" s="1"/>
  <c r="J15" i="38"/>
  <c r="K15" i="38" s="1"/>
  <c r="L15" i="38"/>
  <c r="J17" i="38"/>
  <c r="K17" i="38" s="1"/>
  <c r="L17" i="38"/>
  <c r="T17" i="41"/>
  <c r="H12" i="42"/>
  <c r="L12" i="50"/>
  <c r="J12" i="50"/>
  <c r="K12" i="50" s="1"/>
  <c r="J14" i="50"/>
  <c r="K14" i="50" s="1"/>
  <c r="L14" i="50"/>
  <c r="T25" i="49"/>
  <c r="H16" i="50"/>
  <c r="H17" i="54"/>
  <c r="D35" i="6" s="1"/>
  <c r="L12" i="54"/>
  <c r="J12" i="54"/>
  <c r="K12" i="54" s="1"/>
  <c r="J14" i="54"/>
  <c r="K14" i="54" s="1"/>
  <c r="L14" i="54"/>
  <c r="J13" i="56"/>
  <c r="K13" i="56" s="1"/>
  <c r="L13" i="56"/>
  <c r="H22" i="48"/>
  <c r="L12" i="48"/>
  <c r="J12" i="48"/>
  <c r="K12" i="48" s="1"/>
  <c r="J14" i="48"/>
  <c r="K14" i="48" s="1"/>
  <c r="L14" i="48"/>
  <c r="J16" i="48"/>
  <c r="K16" i="48" s="1"/>
  <c r="L16" i="48"/>
  <c r="J18" i="48"/>
  <c r="K18" i="48" s="1"/>
  <c r="L18" i="48"/>
  <c r="J20" i="48"/>
  <c r="K20" i="48" s="1"/>
  <c r="L20" i="48"/>
  <c r="H16" i="52"/>
  <c r="J12" i="52"/>
  <c r="K12" i="52" s="1"/>
  <c r="L12" i="52"/>
  <c r="J14" i="52"/>
  <c r="K14" i="52" s="1"/>
  <c r="L14" i="52"/>
  <c r="L15" i="56"/>
  <c r="J15" i="56"/>
  <c r="K15" i="56" s="1"/>
  <c r="J17" i="56"/>
  <c r="K17" i="56" s="1"/>
  <c r="L17" i="56"/>
  <c r="J19" i="56"/>
  <c r="K19" i="56" s="1"/>
  <c r="L19" i="56"/>
  <c r="J21" i="56"/>
  <c r="K21" i="56" s="1"/>
  <c r="L21" i="56"/>
  <c r="J23" i="56"/>
  <c r="K23" i="56" s="1"/>
  <c r="L23" i="56"/>
  <c r="J25" i="56"/>
  <c r="K25" i="56" s="1"/>
  <c r="L25" i="56"/>
  <c r="J18" i="58"/>
  <c r="L18" i="58"/>
  <c r="J20" i="58"/>
  <c r="L20" i="58"/>
  <c r="H12" i="60"/>
  <c r="T15" i="59"/>
  <c r="L15" i="62"/>
  <c r="J15" i="62"/>
  <c r="K15" i="62" s="1"/>
  <c r="L17" i="62"/>
  <c r="J17" i="62"/>
  <c r="K17" i="62" s="1"/>
  <c r="L19" i="62"/>
  <c r="J19" i="62"/>
  <c r="K19" i="62" s="1"/>
  <c r="L21" i="62"/>
  <c r="J21" i="62"/>
  <c r="K21" i="62" s="1"/>
  <c r="T35" i="65"/>
  <c r="H12" i="66"/>
  <c r="H26" i="66" s="1"/>
  <c r="J16" i="66"/>
  <c r="K16" i="66" s="1"/>
  <c r="L16" i="66"/>
  <c r="L18" i="66"/>
  <c r="J18" i="66"/>
  <c r="K18" i="66" s="1"/>
  <c r="J21" i="66"/>
  <c r="K21" i="66" s="1"/>
  <c r="L21" i="66"/>
  <c r="J23" i="66"/>
  <c r="K23" i="66" s="1"/>
  <c r="L23" i="66"/>
  <c r="J25" i="66"/>
  <c r="K25" i="66" s="1"/>
  <c r="L25" i="66"/>
  <c r="J13" i="68"/>
  <c r="K13" i="68" s="1"/>
  <c r="L13" i="68"/>
  <c r="J15" i="68"/>
  <c r="K15" i="68" s="1"/>
  <c r="L15" i="68"/>
  <c r="J17" i="68"/>
  <c r="K17" i="68" s="1"/>
  <c r="L17" i="68"/>
  <c r="J13" i="58"/>
  <c r="L13" i="58"/>
  <c r="J15" i="58"/>
  <c r="L15" i="58"/>
  <c r="J22" i="58"/>
  <c r="L22" i="58"/>
  <c r="J24" i="58"/>
  <c r="L24" i="58"/>
  <c r="J26" i="58"/>
  <c r="L26" i="58"/>
  <c r="L13" i="64"/>
  <c r="J13" i="64"/>
  <c r="K13" i="64" s="1"/>
  <c r="L19" i="68"/>
  <c r="J19" i="68"/>
  <c r="K19" i="68" s="1"/>
  <c r="J21" i="68"/>
  <c r="K21" i="68" s="1"/>
  <c r="L21" i="68"/>
  <c r="T38" i="69"/>
  <c r="H12" i="70"/>
  <c r="T33" i="69"/>
  <c r="Q14" i="70"/>
  <c r="J14" i="70"/>
  <c r="K14" i="70" s="1"/>
  <c r="L14" i="70"/>
  <c r="Q16" i="70"/>
  <c r="J16" i="70"/>
  <c r="K16" i="70" s="1"/>
  <c r="L16" i="70"/>
  <c r="J18" i="70"/>
  <c r="K18" i="70" s="1"/>
  <c r="Q18" i="70"/>
  <c r="L18" i="70"/>
  <c r="J20" i="70"/>
  <c r="K20" i="70" s="1"/>
  <c r="Q20" i="70"/>
  <c r="L20" i="70"/>
  <c r="T17" i="71"/>
  <c r="H12" i="72"/>
  <c r="J13" i="74"/>
  <c r="K13" i="74" s="1"/>
  <c r="L13" i="74"/>
  <c r="L17" i="54"/>
  <c r="E35" i="6"/>
  <c r="J17" i="54"/>
  <c r="K17" i="54" s="1"/>
  <c r="E36" i="6"/>
  <c r="E45" i="6"/>
  <c r="E12" i="6"/>
  <c r="E42" i="6"/>
  <c r="E29" i="6"/>
  <c r="E21" i="6"/>
  <c r="E22" i="6"/>
  <c r="E25" i="6"/>
  <c r="E13" i="6"/>
  <c r="E46" i="6"/>
  <c r="E44" i="6"/>
  <c r="E41" i="6"/>
  <c r="E31" i="6"/>
  <c r="E27" i="6"/>
  <c r="E24" i="6"/>
  <c r="E37" i="6"/>
  <c r="C47" i="6" l="1"/>
  <c r="C49" i="6" s="1"/>
  <c r="K26" i="58"/>
  <c r="K24" i="58"/>
  <c r="K22" i="58"/>
  <c r="K15" i="58"/>
  <c r="K13" i="58"/>
  <c r="K20" i="58"/>
  <c r="K18" i="58"/>
  <c r="K16" i="58"/>
  <c r="K14" i="58"/>
  <c r="K21" i="58"/>
  <c r="K19" i="58"/>
  <c r="K27" i="58"/>
  <c r="K25" i="58"/>
  <c r="K23" i="58"/>
  <c r="K17" i="58"/>
  <c r="G46" i="32"/>
  <c r="H20" i="22"/>
  <c r="L20" i="22" s="1"/>
  <c r="D21" i="6"/>
  <c r="F21" i="6" s="1"/>
  <c r="G21" i="6" s="1"/>
  <c r="J24" i="26"/>
  <c r="K24" i="26" s="1"/>
  <c r="L24" i="26"/>
  <c r="J19" i="28"/>
  <c r="K19" i="28" s="1"/>
  <c r="D22" i="6"/>
  <c r="F22" i="6" s="1"/>
  <c r="G22" i="6" s="1"/>
  <c r="L19" i="28"/>
  <c r="D41" i="6"/>
  <c r="F41" i="6" s="1"/>
  <c r="G41" i="6" s="1"/>
  <c r="L26" i="66"/>
  <c r="J26" i="66"/>
  <c r="K26" i="66" s="1"/>
  <c r="Q12" i="70"/>
  <c r="H22" i="70"/>
  <c r="L12" i="70"/>
  <c r="J12" i="70"/>
  <c r="K12" i="70" s="1"/>
  <c r="H13" i="60"/>
  <c r="J12" i="60"/>
  <c r="K12" i="60" s="1"/>
  <c r="L12" i="60"/>
  <c r="D32" i="6"/>
  <c r="L22" i="48"/>
  <c r="J22" i="48"/>
  <c r="K22" i="48" s="1"/>
  <c r="J16" i="50"/>
  <c r="K16" i="50" s="1"/>
  <c r="L16" i="50"/>
  <c r="H18" i="50"/>
  <c r="D28" i="6"/>
  <c r="L16" i="40"/>
  <c r="H46" i="32"/>
  <c r="J12" i="32"/>
  <c r="K12" i="32" s="1"/>
  <c r="L12" i="32"/>
  <c r="H17" i="16"/>
  <c r="L12" i="16"/>
  <c r="J12" i="16"/>
  <c r="K12" i="16" s="1"/>
  <c r="L13" i="12"/>
  <c r="D14" i="6"/>
  <c r="J13" i="12"/>
  <c r="K13" i="12" s="1"/>
  <c r="L18" i="14"/>
  <c r="J18" i="14"/>
  <c r="K18" i="14" s="1"/>
  <c r="H21" i="14"/>
  <c r="H15" i="74"/>
  <c r="L12" i="74"/>
  <c r="J12" i="74"/>
  <c r="K12" i="74" s="1"/>
  <c r="J22" i="62"/>
  <c r="K22" i="62" s="1"/>
  <c r="L22" i="62"/>
  <c r="H26" i="56"/>
  <c r="J12" i="56"/>
  <c r="K12" i="56" s="1"/>
  <c r="L12" i="56"/>
  <c r="H20" i="38"/>
  <c r="J12" i="38"/>
  <c r="L12" i="38"/>
  <c r="L28" i="20"/>
  <c r="E18" i="6"/>
  <c r="E47" i="6" s="1"/>
  <c r="J26" i="24"/>
  <c r="K26" i="24" s="1"/>
  <c r="L26" i="24"/>
  <c r="L13" i="22"/>
  <c r="J13" i="22"/>
  <c r="K13" i="22" s="1"/>
  <c r="D18" i="6"/>
  <c r="J28" i="20"/>
  <c r="K28" i="20" s="1"/>
  <c r="J16" i="76"/>
  <c r="K16" i="76" s="1"/>
  <c r="K17" i="76" s="1"/>
  <c r="L16" i="76"/>
  <c r="J14" i="4"/>
  <c r="K14" i="4" s="1"/>
  <c r="L14" i="4"/>
  <c r="H18" i="4"/>
  <c r="D11" i="6" s="1"/>
  <c r="H13" i="72"/>
  <c r="L12" i="72"/>
  <c r="J12" i="72"/>
  <c r="L12" i="66"/>
  <c r="J12" i="66"/>
  <c r="K12" i="66" s="1"/>
  <c r="D34" i="6"/>
  <c r="J16" i="52"/>
  <c r="K16" i="52" s="1"/>
  <c r="L16" i="52"/>
  <c r="H14" i="42"/>
  <c r="L12" i="42"/>
  <c r="J12" i="42"/>
  <c r="H32" i="46"/>
  <c r="J12" i="46"/>
  <c r="K12" i="46" s="1"/>
  <c r="L12" i="46"/>
  <c r="D30" i="6"/>
  <c r="L18" i="44"/>
  <c r="J18" i="44"/>
  <c r="K18" i="44" s="1"/>
  <c r="K12" i="40"/>
  <c r="J16" i="40"/>
  <c r="K16" i="40" s="1"/>
  <c r="L23" i="26"/>
  <c r="J23" i="26"/>
  <c r="K23" i="26" s="1"/>
  <c r="D20" i="6"/>
  <c r="L27" i="24"/>
  <c r="J27" i="24"/>
  <c r="K27" i="24" s="1"/>
  <c r="J12" i="34"/>
  <c r="H13" i="34"/>
  <c r="L12" i="34"/>
  <c r="J16" i="28"/>
  <c r="K16" i="28" s="1"/>
  <c r="L16" i="28"/>
  <c r="L12" i="64"/>
  <c r="J12" i="64"/>
  <c r="K12" i="64" s="1"/>
  <c r="H14" i="64"/>
  <c r="J12" i="58"/>
  <c r="H29" i="58"/>
  <c r="L12" i="58"/>
  <c r="H23" i="68"/>
  <c r="L12" i="68"/>
  <c r="J12" i="68"/>
  <c r="K12" i="68" s="1"/>
  <c r="H23" i="62"/>
  <c r="L15" i="44"/>
  <c r="J15" i="44"/>
  <c r="K15" i="44" s="1"/>
  <c r="J13" i="36"/>
  <c r="K13" i="36" s="1"/>
  <c r="H22" i="36"/>
  <c r="L13" i="36"/>
  <c r="H16" i="30"/>
  <c r="J12" i="30"/>
  <c r="K12" i="30" s="1"/>
  <c r="H24" i="18"/>
  <c r="J12" i="18"/>
  <c r="K12" i="18" s="1"/>
  <c r="L12" i="18"/>
  <c r="H17" i="76"/>
  <c r="J13" i="7"/>
  <c r="K13" i="7" s="1"/>
  <c r="H14" i="7"/>
  <c r="L13" i="7"/>
  <c r="H35" i="6"/>
  <c r="F35" i="6"/>
  <c r="G35" i="6" s="1"/>
  <c r="J20" i="22" l="1"/>
  <c r="K20" i="22" s="1"/>
  <c r="D19" i="6"/>
  <c r="F19" i="6" s="1"/>
  <c r="G19" i="6" s="1"/>
  <c r="H41" i="6"/>
  <c r="K12" i="58"/>
  <c r="H21" i="6"/>
  <c r="H22" i="6"/>
  <c r="F18" i="6"/>
  <c r="G18" i="6" s="1"/>
  <c r="L24" i="18"/>
  <c r="J24" i="18"/>
  <c r="K24" i="18" s="1"/>
  <c r="D17" i="6"/>
  <c r="D23" i="6"/>
  <c r="J16" i="30"/>
  <c r="D26" i="6"/>
  <c r="L22" i="36"/>
  <c r="J22" i="36"/>
  <c r="K22" i="36" s="1"/>
  <c r="D39" i="6"/>
  <c r="J23" i="62"/>
  <c r="K23" i="62" s="1"/>
  <c r="L23" i="62"/>
  <c r="D25" i="6"/>
  <c r="L13" i="34"/>
  <c r="F20" i="6"/>
  <c r="G20" i="6" s="1"/>
  <c r="H20" i="6"/>
  <c r="D31" i="6"/>
  <c r="L32" i="46"/>
  <c r="J32" i="46"/>
  <c r="K32" i="46" s="1"/>
  <c r="F34" i="6"/>
  <c r="G34" i="6" s="1"/>
  <c r="H34" i="6"/>
  <c r="L18" i="4"/>
  <c r="J18" i="4"/>
  <c r="K18" i="4" s="1"/>
  <c r="J20" i="38"/>
  <c r="K20" i="38" s="1"/>
  <c r="K12" i="38"/>
  <c r="D36" i="6"/>
  <c r="L26" i="56"/>
  <c r="J26" i="56"/>
  <c r="K26" i="56" s="1"/>
  <c r="D15" i="6"/>
  <c r="L21" i="14"/>
  <c r="J21" i="14"/>
  <c r="K21" i="14" s="1"/>
  <c r="F14" i="6"/>
  <c r="G14" i="6" s="1"/>
  <c r="H14" i="6"/>
  <c r="D16" i="6"/>
  <c r="L17" i="16"/>
  <c r="J17" i="16"/>
  <c r="K17" i="16" s="1"/>
  <c r="D33" i="6"/>
  <c r="L18" i="50"/>
  <c r="J18" i="50"/>
  <c r="K18" i="50" s="1"/>
  <c r="D38" i="6"/>
  <c r="L13" i="60"/>
  <c r="J13" i="60"/>
  <c r="K13" i="60" s="1"/>
  <c r="J14" i="7"/>
  <c r="K14" i="7" s="1"/>
  <c r="D12" i="6"/>
  <c r="L14" i="7"/>
  <c r="D13" i="6"/>
  <c r="L17" i="76"/>
  <c r="J17" i="76"/>
  <c r="L12" i="30"/>
  <c r="L16" i="30" s="1"/>
  <c r="K16" i="30"/>
  <c r="D42" i="6"/>
  <c r="L23" i="68"/>
  <c r="J23" i="68"/>
  <c r="K23" i="68" s="1"/>
  <c r="D37" i="6"/>
  <c r="L29" i="58"/>
  <c r="J29" i="58"/>
  <c r="K29" i="58" s="1"/>
  <c r="L14" i="64"/>
  <c r="J14" i="64"/>
  <c r="K14" i="64" s="1"/>
  <c r="D40" i="6"/>
  <c r="K12" i="34"/>
  <c r="J13" i="34"/>
  <c r="K13" i="34" s="1"/>
  <c r="H30" i="6"/>
  <c r="F30" i="6"/>
  <c r="G30" i="6" s="1"/>
  <c r="J14" i="42"/>
  <c r="K12" i="42"/>
  <c r="K14" i="42" s="1"/>
  <c r="D29" i="6"/>
  <c r="L14" i="42"/>
  <c r="K12" i="72"/>
  <c r="J13" i="72"/>
  <c r="K13" i="72" s="1"/>
  <c r="D45" i="6"/>
  <c r="L13" i="72"/>
  <c r="H18" i="6"/>
  <c r="D27" i="6"/>
  <c r="L20" i="38"/>
  <c r="D46" i="6"/>
  <c r="L15" i="74"/>
  <c r="J15" i="74"/>
  <c r="K15" i="74" s="1"/>
  <c r="D24" i="6"/>
  <c r="L46" i="32"/>
  <c r="J46" i="32"/>
  <c r="K46" i="32" s="1"/>
  <c r="H28" i="6"/>
  <c r="F28" i="6"/>
  <c r="G28" i="6" s="1"/>
  <c r="H32" i="6"/>
  <c r="F32" i="6"/>
  <c r="G32" i="6" s="1"/>
  <c r="D44" i="6"/>
  <c r="L22" i="70"/>
  <c r="J22" i="70"/>
  <c r="K22" i="70" s="1"/>
  <c r="E49" i="6"/>
  <c r="H19" i="6" l="1"/>
  <c r="H24" i="6"/>
  <c r="F24" i="6"/>
  <c r="G24" i="6" s="1"/>
  <c r="F45" i="6"/>
  <c r="G45" i="6" s="1"/>
  <c r="H45" i="6"/>
  <c r="H29" i="6"/>
  <c r="F29" i="6"/>
  <c r="G29" i="6" s="1"/>
  <c r="H37" i="6"/>
  <c r="F37" i="6"/>
  <c r="G37" i="6" s="1"/>
  <c r="H13" i="6"/>
  <c r="F13" i="6"/>
  <c r="G13" i="6" s="1"/>
  <c r="F12" i="6"/>
  <c r="G12" i="6" s="1"/>
  <c r="H12" i="6"/>
  <c r="H38" i="6"/>
  <c r="F38" i="6"/>
  <c r="G38" i="6" s="1"/>
  <c r="F16" i="6"/>
  <c r="G16" i="6" s="1"/>
  <c r="H16" i="6"/>
  <c r="H36" i="6"/>
  <c r="F36" i="6"/>
  <c r="G36" i="6" s="1"/>
  <c r="F31" i="6"/>
  <c r="G31" i="6" s="1"/>
  <c r="H31" i="6"/>
  <c r="H25" i="6"/>
  <c r="F25" i="6"/>
  <c r="G25" i="6" s="1"/>
  <c r="H26" i="6"/>
  <c r="F26" i="6"/>
  <c r="G26" i="6" s="1"/>
  <c r="F23" i="6"/>
  <c r="G23" i="6" s="1"/>
  <c r="H23" i="6"/>
  <c r="H44" i="6"/>
  <c r="F44" i="6"/>
  <c r="G44" i="6" s="1"/>
  <c r="H46" i="6"/>
  <c r="F46" i="6"/>
  <c r="G46" i="6" s="1"/>
  <c r="H27" i="6"/>
  <c r="F27" i="6"/>
  <c r="G27" i="6" s="1"/>
  <c r="F40" i="6"/>
  <c r="G40" i="6" s="1"/>
  <c r="H40" i="6"/>
  <c r="H42" i="6"/>
  <c r="F42" i="6"/>
  <c r="G42" i="6" s="1"/>
  <c r="H33" i="6"/>
  <c r="F33" i="6"/>
  <c r="G33" i="6" s="1"/>
  <c r="F15" i="6"/>
  <c r="G15" i="6" s="1"/>
  <c r="H15" i="6"/>
  <c r="F11" i="6"/>
  <c r="H11" i="6"/>
  <c r="D47" i="6"/>
  <c r="F39" i="6"/>
  <c r="G39" i="6" s="1"/>
  <c r="H39" i="6"/>
  <c r="F17" i="6"/>
  <c r="G17" i="6" s="1"/>
  <c r="H17" i="6"/>
  <c r="D49" i="6" l="1"/>
  <c r="H47" i="6"/>
  <c r="H49" i="6" s="1"/>
  <c r="G11" i="6"/>
  <c r="F47" i="6"/>
  <c r="F49" i="6" l="1"/>
  <c r="G47" i="6"/>
  <c r="G49" i="6" s="1"/>
</calcChain>
</file>

<file path=xl/sharedStrings.xml><?xml version="1.0" encoding="utf-8"?>
<sst xmlns="http://schemas.openxmlformats.org/spreadsheetml/2006/main" count="11778" uniqueCount="999">
  <si>
    <t>Almacén Delegacional, Oficinas de la Coordinación Delegacional, Bod.  Bienes Emb. y Arch. Conc.</t>
  </si>
  <si>
    <t>Calle Carolina Villanueva N° 314, Ciudad Industrial, Aguascalientes</t>
  </si>
  <si>
    <t>019001</t>
  </si>
  <si>
    <t>Centro de Capacitación</t>
  </si>
  <si>
    <t>Calle Ecuador No. 205, Planta Alta, Aguascalientes</t>
  </si>
  <si>
    <t>015801</t>
  </si>
  <si>
    <t>Oficinas Administrativas de la Subdelegación Metropolitana Sur</t>
  </si>
  <si>
    <t>Calle Ecuador No. 205, Planta Baja, Aguascalientes</t>
  </si>
  <si>
    <t>019102</t>
  </si>
  <si>
    <t>Oficinas Administrativas de la Subdelegación Metropolitana Norte</t>
  </si>
  <si>
    <t>Carr. A Zacatecas No. 701, Fracc. las Hadas, C.P. 20140</t>
  </si>
  <si>
    <t>019101</t>
  </si>
  <si>
    <t>C.C.</t>
  </si>
  <si>
    <t>U.I.</t>
  </si>
  <si>
    <t>OBSERVACIONES</t>
  </si>
  <si>
    <t>DESTINO</t>
  </si>
  <si>
    <t>DIRECCIÓN</t>
  </si>
  <si>
    <t>UNIDAD</t>
  </si>
  <si>
    <t>CLAV E PREI</t>
  </si>
  <si>
    <t>EJERCICIO 2020</t>
  </si>
  <si>
    <t>DIVISIÓN DE ARRENDAMIENTO Y COMERCIALIZACIÓN</t>
  </si>
  <si>
    <t>COORDINACIÓN TÉCNICA DE ADMINISTRACIÓN DE ACTIVOS</t>
  </si>
  <si>
    <t>COORDINACIÓN DE CONSERVACIÓN Y SERVICIOS GENERALES</t>
  </si>
  <si>
    <t>UNIDAD DE ADMINISTRACIÓN</t>
  </si>
  <si>
    <t>DIRECCIÓN DE ADMINISTRACIÓN</t>
  </si>
  <si>
    <t>INSTITUTO MEXICANO DEL SEGURO SOCIAL</t>
  </si>
  <si>
    <t>ASIGNADO
ANUAL</t>
  </si>
  <si>
    <t>VARIACIÓN</t>
  </si>
  <si>
    <t>AVANCE
%</t>
  </si>
  <si>
    <t>%
4=(3/1)*100</t>
  </si>
  <si>
    <t>AGUASCALIENTES</t>
  </si>
  <si>
    <t>OOAD:</t>
  </si>
  <si>
    <t xml:space="preserve">MONTO MENSUAL CON IVA </t>
  </si>
  <si>
    <t xml:space="preserve">MONTO ANUAL </t>
  </si>
  <si>
    <t xml:space="preserve">MONTO MENSUAL DE CONTRATO </t>
  </si>
  <si>
    <t xml:space="preserve">no hay contrato con el incremento </t>
  </si>
  <si>
    <t>contrato de marzo a diciembre de  2020</t>
  </si>
  <si>
    <t>050100</t>
  </si>
  <si>
    <t>Casa Habitación TOOAD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</si>
  <si>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</si>
  <si>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</si>
  <si>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</si>
  <si>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</si>
  <si>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</si>
  <si>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</si>
  <si>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</si>
  <si>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</si>
  <si>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</si>
  <si>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</si>
  <si>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</si>
  <si>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</si>
  <si>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</si>
  <si>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Asignado</t>
  </si>
  <si>
    <t>Ejercido</t>
  </si>
  <si>
    <t>Avenida Arroyo del Molino No. 301, casa 163, Fraccionamiento Real del Molino, Jesús María, Aguascalientes</t>
  </si>
  <si>
    <t>Contrato 2021</t>
  </si>
  <si>
    <t xml:space="preserve">Casa Habitacional </t>
  </si>
  <si>
    <t>Boulevard a Zacatecas No. 701, Fracc. las Hadas, C.P. 20140</t>
  </si>
  <si>
    <t>Calle Mangana No. 201, fraccionamiento Vista Alegre, Aguascalientes, Aguascalientes</t>
  </si>
  <si>
    <t>Bodega de Bienes Embargados</t>
  </si>
  <si>
    <t>Calle Julio Díaz Torre N° 105, Lote 3, Manzana 28 Interior D y E, Fraccionamiento Ciudad Industrial, C.P. 20290, Aguascalientes.</t>
  </si>
  <si>
    <t>EJERCICIO 2026</t>
  </si>
  <si>
    <t>Cuenta</t>
  </si>
  <si>
    <t>Gasto</t>
  </si>
  <si>
    <t>2026M02</t>
  </si>
  <si>
    <t>2026M03</t>
  </si>
  <si>
    <t>2026M04</t>
  </si>
  <si>
    <t>2026M05</t>
  </si>
  <si>
    <t>2026M06</t>
  </si>
  <si>
    <t>2026M07</t>
  </si>
  <si>
    <t>2026M08</t>
  </si>
  <si>
    <t>2026M09</t>
  </si>
  <si>
    <t>2026M10</t>
  </si>
  <si>
    <t>2026M11</t>
  </si>
  <si>
    <t>2026M12</t>
  </si>
  <si>
    <t>0740D1</t>
  </si>
  <si>
    <t>0740D8</t>
  </si>
  <si>
    <t>07P901</t>
  </si>
  <si>
    <t>14D000</t>
  </si>
  <si>
    <t>09P901</t>
  </si>
  <si>
    <t>10P901</t>
  </si>
  <si>
    <t>13P901</t>
  </si>
  <si>
    <t>16P901</t>
  </si>
  <si>
    <t>19P901</t>
  </si>
  <si>
    <t>21P901</t>
  </si>
  <si>
    <t>25P901</t>
  </si>
  <si>
    <t>26P901</t>
  </si>
  <si>
    <t>31P901</t>
  </si>
  <si>
    <t>34P901</t>
  </si>
  <si>
    <t>Renta 
Mensual</t>
  </si>
  <si>
    <t>PRESUPUESTO AL PERIODO</t>
  </si>
  <si>
    <t>CALENDARIZADO
(1)</t>
  </si>
  <si>
    <t>EJERCIDO
(2)</t>
  </si>
  <si>
    <t>Registra pagos al mes de junio.</t>
  </si>
  <si>
    <t>018101</t>
  </si>
  <si>
    <t>Avenida Arroyio del Molino No. 301, casa 163, Fraccionamiento Real del Molino, Jesús María, Aguascalientes</t>
  </si>
  <si>
    <t>DIRECCION DE FINANZAS</t>
  </si>
  <si>
    <t>COORDINACION DE PRESUPUESTO E INFORMACION PROGRAMATICA</t>
  </si>
  <si>
    <t>ID Reporte:	IMKK022</t>
  </si>
  <si>
    <t>REPORTE DE DISPONIBILIDAD PRESUPUESTAL</t>
  </si>
  <si>
    <t>(Importes en Pesos)</t>
  </si>
  <si>
    <t>Unidad de Negocio:</t>
  </si>
  <si>
    <t xml:space="preserve"> IMSSR</t>
  </si>
  <si>
    <t>Periodo Ppto Inicial:</t>
  </si>
  <si>
    <t>2026M01</t>
  </si>
  <si>
    <t>Periodo Ppto Final:</t>
  </si>
  <si>
    <t>Uni.Explot</t>
  </si>
  <si>
    <t>Centro Costo</t>
  </si>
  <si>
    <t>Uni.Información</t>
  </si>
  <si>
    <t>Proyecto</t>
  </si>
  <si>
    <t>Periodo</t>
  </si>
  <si>
    <t>Presupuesto</t>
  </si>
  <si>
    <t>Comprometido</t>
  </si>
  <si>
    <t>Precomprometido</t>
  </si>
  <si>
    <t>Disponible</t>
  </si>
  <si>
    <t>N/A</t>
  </si>
  <si>
    <t>AL:</t>
  </si>
  <si>
    <t>Órgano de Operación
Administrativa 
Desconcentrado</t>
  </si>
  <si>
    <t>Inmuebles
Arrendados</t>
  </si>
  <si>
    <t>ASIGNADO 
ANUAL</t>
  </si>
  <si>
    <t>Registra pagos al mes de agosto, pendiente el mes de septiembre</t>
  </si>
  <si>
    <t xml:space="preserve">BAJA CALIFORNIA 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</si>
  <si>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</si>
  <si>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</si>
  <si>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</si>
  <si>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</si>
  <si>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</si>
  <si>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</si>
  <si>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</si>
  <si>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 xml:space="preserve">DURANGO 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</si>
  <si>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</si>
  <si>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</si>
  <si>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</si>
  <si>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</si>
  <si>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</si>
  <si>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</si>
  <si>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</si>
  <si>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</si>
  <si>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</si>
  <si>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</si>
  <si>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</si>
  <si>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</si>
  <si>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</si>
  <si>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</si>
  <si>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</si>
  <si>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</si>
  <si>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</si>
  <si>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</si>
  <si>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</si>
  <si>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</si>
  <si>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</si>
  <si>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</si>
  <si>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YUCATÁN</t>
  </si>
  <si>
    <t>ZACATECAS</t>
  </si>
  <si>
    <t>DF NORTE</t>
  </si>
  <si>
    <t>DF SUR</t>
  </si>
  <si>
    <t>Llave</t>
  </si>
  <si>
    <t>025601</t>
  </si>
  <si>
    <t>Avenida Gastelum y Calle 14 Nos. 1408 y 1415, Colonia Sección Primera, Ensenada</t>
  </si>
  <si>
    <t>Centro de Extensión de Conocimientos y Esquema Modificado</t>
  </si>
  <si>
    <t>No ha registrado pagos en el primer trimestre de 2023.</t>
  </si>
  <si>
    <t>029101</t>
  </si>
  <si>
    <t>Boulevard Lázaro Cárdenas No. 2209-C, Colonia Plutarco Elías Calles Deleg. Gonzalez Ortega C.P 21379, Mexicali</t>
  </si>
  <si>
    <t>Oficinas Administrativas Subdelegacionales</t>
  </si>
  <si>
    <t>EJERCICIO 2025</t>
  </si>
  <si>
    <t>OOAD :</t>
  </si>
  <si>
    <t xml:space="preserve">BAJA CALIFORNIA SUR </t>
  </si>
  <si>
    <t>Octubre</t>
  </si>
  <si>
    <t>Calle Ignacio Allende No. 1135, esquina Félix Ortega y Marcelo Rubio Ruíz, Colonia Centro, La Paz</t>
  </si>
  <si>
    <t>Unidad de Rehabilitación y Centro de Capacitación</t>
  </si>
  <si>
    <t>Boulevard Tecnológico No. 1810, Colonia Guaymitas, San José del Cabo</t>
  </si>
  <si>
    <t>Oficinas Administrativas</t>
  </si>
  <si>
    <t>Avenida Venustiano Carranza No. 114 entre Ignacio Zaragoza y Hugo Cervantes del Rio, Colonia Centro, Ciudad Constitución</t>
  </si>
  <si>
    <t>Calle 22 s/n, Lote oo8, Manzana 13, Colonia Desarrollo Aeropuerto, San José del Cabo</t>
  </si>
  <si>
    <t>Almacén de Materiales Terapéuticos y Diversos</t>
  </si>
  <si>
    <t xml:space="preserve">Calle Valentín Gómez Farías No. 166, entre República y Manuel Torres Iglesias, Colonia Esterito, </t>
  </si>
  <si>
    <r>
      <t>Bodega de Bienes Embargados y Archivo de Concentración</t>
    </r>
    <r>
      <rPr>
        <sz val="14"/>
        <color theme="1"/>
        <rFont val="Arial"/>
        <family val="2"/>
      </rPr>
      <t xml:space="preserve"> *</t>
    </r>
  </si>
  <si>
    <t>049001</t>
  </si>
  <si>
    <t>Tepic</t>
  </si>
  <si>
    <t>Calle Cordillera No 34, departamento 202, Condominios Xiluma, Fraccionamiento Lomas de la Eminencia, San Francisco, Campeche</t>
  </si>
  <si>
    <t>CASA HABITACIÓN TOOAD</t>
  </si>
  <si>
    <t>Asingado</t>
  </si>
  <si>
    <t xml:space="preserve">OOAD: </t>
  </si>
  <si>
    <t>052409</t>
  </si>
  <si>
    <t>Torreón</t>
  </si>
  <si>
    <t>Boulevard Constitución, esquina Calle Jiménez, Zona Centro, Torreón</t>
  </si>
  <si>
    <t>UNIDAD DE MEDICINA FAMILIAR No. 80</t>
  </si>
  <si>
    <t>059001</t>
  </si>
  <si>
    <t>Saltillo</t>
  </si>
  <si>
    <t>Boulevard Isidro López Zertuche No. 2791-B, Colonia Universidad, Saltillo</t>
  </si>
  <si>
    <t>OFICINAS ADMINISTRATIVAS SUBDELEGACIONALES</t>
  </si>
  <si>
    <t>059102</t>
  </si>
  <si>
    <t>Boulevard Independencia y Calle Leona Vicario S/N, Torreón</t>
  </si>
  <si>
    <t>055905</t>
  </si>
  <si>
    <t>Monclova</t>
  </si>
  <si>
    <t>Boulevard Benito Juarez No. 523, Colonia Roma, Monclova</t>
  </si>
  <si>
    <t>TIENDA</t>
  </si>
  <si>
    <t>055901</t>
  </si>
  <si>
    <t xml:space="preserve">Presidente Cárdenas No 197, Zona Centro, Saltillo </t>
  </si>
  <si>
    <t>Calle Egipto esquina José Sarmiento S/N, Fraccionamiento Virreyes Obrera, Saltillo</t>
  </si>
  <si>
    <t>BODEGA DE BIENES EMBARGADOS Y OFICINA DE SERVICIOS GENERALES</t>
  </si>
  <si>
    <t>Pago al mes de enero</t>
  </si>
  <si>
    <t>058001</t>
  </si>
  <si>
    <t>Carretera Saltillo zacatecas km. 22, puente la Encantada, C.P. 2595</t>
  </si>
  <si>
    <t>ALMACEN DELEGACIONAL</t>
  </si>
  <si>
    <t>Realizo pagos al mes de junio.</t>
  </si>
  <si>
    <t>Carretera Saltillo zacatecas km. 22, puente la Encantada, C.P. 25950</t>
  </si>
  <si>
    <t>058005</t>
  </si>
  <si>
    <t>Piedras 
Negras</t>
  </si>
  <si>
    <t>Avenida López Mateos No. 1009, Colonia Roma, Piedras Negras</t>
  </si>
  <si>
    <t>BODEGA DE BIENES EMBARGADOS</t>
  </si>
  <si>
    <t xml:space="preserve">inMUEBLE CANCELADO </t>
  </si>
  <si>
    <t>Calle Paseo del Coral No. 156, Fraccionamiento San Patricio, Saltillo, Coahuila</t>
  </si>
  <si>
    <t>Registra pagos al mes de diciembre</t>
  </si>
  <si>
    <t>&lt;</t>
  </si>
  <si>
    <t>Renta
Mensual</t>
  </si>
  <si>
    <t>065801</t>
  </si>
  <si>
    <t>Colima</t>
  </si>
  <si>
    <t>Avenida de los Maestros No. 324, Colonia Huertas del Sol</t>
  </si>
  <si>
    <t>CENTRO DE CAPACITACIÓN</t>
  </si>
  <si>
    <t>069103</t>
  </si>
  <si>
    <t>Tecomán</t>
  </si>
  <si>
    <t>Calle 5 de Mayo No. 33, Colonia Centro, Tecomán</t>
  </si>
  <si>
    <t>065901</t>
  </si>
  <si>
    <t>Calle Lic. Gustavo Díaz Ordaz No. 120, Colonia El Moralete</t>
  </si>
  <si>
    <t>Avenida de los Deportistas No. 1144, colonia El Tecolote,Colima.</t>
  </si>
  <si>
    <t>SUB ALMACEN</t>
  </si>
  <si>
    <t>069001</t>
  </si>
  <si>
    <t>Calle León Felipe No. 346, Fraccionamiento Real de Vista Hermosa II, Colima, Colima</t>
  </si>
  <si>
    <t>Calle 5 de Mayo No. 33, Colonia Unión, Tecomán</t>
  </si>
  <si>
    <t>068003</t>
  </si>
  <si>
    <t>Calle León Felipe No. 346, colonia El Tecolote, Colima, Colima.</t>
  </si>
  <si>
    <t>075401</t>
  </si>
  <si>
    <t>Tuxtla Gutíerrez</t>
  </si>
  <si>
    <t>5a. Avenida Oriente S/N Colonia Los Manguitos, antes Calzada a La Ciudad Deportiva S/N, "Panchón Contreras", Tuxtla Gutíerrez</t>
  </si>
  <si>
    <t>UNIDAD DEPORTIVA</t>
  </si>
  <si>
    <t>079001</t>
  </si>
  <si>
    <t>Tapachula</t>
  </si>
  <si>
    <t>11a. Calle Poniente No. 8-A, Zona Centro, Tapachula</t>
  </si>
  <si>
    <t>OFICINAS ADMINISTRATIVAS</t>
  </si>
  <si>
    <t>075902</t>
  </si>
  <si>
    <t>Segunda Calle Oriente y Septima Avenida Sur No. 12, Colonia Centro</t>
  </si>
  <si>
    <t>TIENDA NO. 12</t>
  </si>
  <si>
    <t>075901</t>
  </si>
  <si>
    <t>Calle Central Sur  No. 1989, Colonia San Francisco, Tuxtla Gutíerrez</t>
  </si>
  <si>
    <t>TIENDA NO. 13</t>
  </si>
  <si>
    <t>078002</t>
  </si>
  <si>
    <t>Libramiento Sur de Tapachula de Cordova y Ordoñez Km 4+000, Tapachula</t>
  </si>
  <si>
    <t>BODEGA DEL ALMACÉN DELEGACIONAL Y OFICINAS ADMINISTRATIVAS DE ABASTECIMIENTO Y EQUIPAMIENTO</t>
  </si>
  <si>
    <t>079101</t>
  </si>
  <si>
    <t>Avenida Carlos Maciel No. 119, Fraccionamiento Santos (San Roque), Tuxtla Gutíerrez</t>
  </si>
  <si>
    <t>BODEGA DE ARCHIVO DE CONCENTRACIÓN</t>
  </si>
  <si>
    <t>Avenida Río Coatán lote 3, esquina Río Coatancito, Fraccionamiento Valle Dorado, Tapachula</t>
  </si>
  <si>
    <t>Casa TOOAD</t>
  </si>
  <si>
    <t>Calle Vicente Guerrero Número 6, C.P. 29520 Colonia Centro De Pichucalco, Chiapas</t>
  </si>
  <si>
    <t>Oficinas Administrativas EMS</t>
  </si>
  <si>
    <t>2ª Calle Sur Poniente 188, Barrio Las Flores, C.P. 30000  Comitán De Domínguez, Chiapas.</t>
  </si>
  <si>
    <t>2ª Calle Sur Poniente Esquina Calle Privada Número 190, Barrio Las Flores C.P. 30000 En Comitán De Domínguez, Chiapas</t>
  </si>
  <si>
    <t>Avenida Central Poniente Número 150, C.P. 29770 Colonia Juan Sabines De Bochil</t>
  </si>
  <si>
    <t>Avenida Central Norte Número 125, Cp.30700 Colonia Centro De La Ciudad De Tapachula De Córdova Y Ordóñez, Chiapas</t>
  </si>
  <si>
    <t>No registra pagos en el periodo.</t>
  </si>
  <si>
    <t>Calle Vicente Guerrero Número 6, C.P. 29520 Colonia Centro De Pichucalco, Chiapa</t>
  </si>
  <si>
    <t>5740D8</t>
  </si>
  <si>
    <t>Registra pagos al mes de febrero</t>
  </si>
  <si>
    <t>082435</t>
  </si>
  <si>
    <t>San Francisco del Oro</t>
  </si>
  <si>
    <t>Calle Benito Juarez No. 97, Colonia Centro, San Francisco del Oro</t>
  </si>
  <si>
    <t>UNIDAD DE MEDICINA FAMILIAR NO. 9</t>
  </si>
  <si>
    <t>Pago al mes de febrero.</t>
  </si>
  <si>
    <t>082438</t>
  </si>
  <si>
    <t>Creel Bocoyna</t>
  </si>
  <si>
    <t>Fernando Montes de Oca, Lote 6, Manzana 8, barrio Profortarah, Creel  Bocoyna</t>
  </si>
  <si>
    <t>UNIDAD DE MEDICINA FAMILIAR NO. 32</t>
  </si>
  <si>
    <t>Pagado al mes de mayo.</t>
  </si>
  <si>
    <t>082442</t>
  </si>
  <si>
    <t>Rodrigo de Quevedo</t>
  </si>
  <si>
    <t>Avenida Álvaro Obregón S/N Colonia Centro, Municipio de Ascención, Rodrigo de Quevedo</t>
  </si>
  <si>
    <t>UNIDAD DE MEDICINA FAMILIAR NO. 45</t>
  </si>
  <si>
    <t>Pagado al mes de junio.</t>
  </si>
  <si>
    <t>082408</t>
  </si>
  <si>
    <t>Ciudad Delicias</t>
  </si>
  <si>
    <t>Avenida 14 Poniente No, 700, Colonia Sector Poniente, Ciudad Delicias</t>
  </si>
  <si>
    <t>UNIDAD DE MEDICINA FAMILIAR NO. 57</t>
  </si>
  <si>
    <t>089106</t>
  </si>
  <si>
    <t>Ciudad Juárez</t>
  </si>
  <si>
    <t>Avenida Henry Dunant No. 4508, Zona Pronaf, Ciudad Juárez</t>
  </si>
  <si>
    <t xml:space="preserve">OFICINAS ADMINISTRATIVAS </t>
  </si>
  <si>
    <t>Pago al mes de abril.</t>
  </si>
  <si>
    <t>089102</t>
  </si>
  <si>
    <t>Ciudad Cuauhtémoc</t>
  </si>
  <si>
    <t>Avenida Tecnológico No. 343, Colonia Barrio Lerdo, Cd. Cuauhtémoc</t>
  </si>
  <si>
    <t>089107</t>
  </si>
  <si>
    <t>Hidalgo del Parral</t>
  </si>
  <si>
    <t>Calle Pedro de Lille No. 3, Hidalgo del Parral</t>
  </si>
  <si>
    <t>089103</t>
  </si>
  <si>
    <t>Avenida Fernando Baeza No. 206, Sector Oriente, Cd. Delicias</t>
  </si>
  <si>
    <t>085901</t>
  </si>
  <si>
    <t>Chihuahua</t>
  </si>
  <si>
    <t>Calle 21 Nº. 1109, Colonia Santo Niño, Chihuahua</t>
  </si>
  <si>
    <t xml:space="preserve"> TIENDA Nº.14</t>
  </si>
  <si>
    <t>085905</t>
  </si>
  <si>
    <t>Ciudad Juarez</t>
  </si>
  <si>
    <t>Boulevard Oscar Flores Sánchez Nº. 2250, Ciudad Juarez</t>
  </si>
  <si>
    <t>TIENDA Nº. 97</t>
  </si>
  <si>
    <t>088001</t>
  </si>
  <si>
    <t>Calle General Rosalio Hernandez Nº. 21 y Ferrocarriles Nacionales de México, Chihuahua</t>
  </si>
  <si>
    <t>ALM.DELEGACIONAL (BIENES NO TERAPEUTICOS)</t>
  </si>
  <si>
    <t>Calle Privada Santa Rosa  Nºs. 21 y 23, Chihuahua</t>
  </si>
  <si>
    <t>ALM.DELEGACIONAL (BIENES TERAPEUTICOS)</t>
  </si>
  <si>
    <t>088002</t>
  </si>
  <si>
    <t>Calle 53 A N°. 5 Colonia Arquitectos, Chihuahua</t>
  </si>
  <si>
    <t xml:space="preserve"> BODEGA DE BIENES EMBARGADOS</t>
  </si>
  <si>
    <t>089105</t>
  </si>
  <si>
    <t>Calle Sierra Mohinora Nº. 6011, Fraccionamiento La Cuesta, Ciudad Juárez</t>
  </si>
  <si>
    <t>Calle Privada Santa Rosa  Nº 19, Chihuahua</t>
  </si>
  <si>
    <t>COORDINACIÓN DE ABASTECIMIENTO</t>
  </si>
  <si>
    <t>Av. Morelos No. 654 Altos Col. Centro  C.P 31500</t>
  </si>
  <si>
    <t>No se han realizado pagos</t>
  </si>
  <si>
    <t>Registra pagos al mes de julio.</t>
  </si>
  <si>
    <t>Registra pagos al mes de mayo.                         Registra un importe adicional de 79,769.99.</t>
  </si>
  <si>
    <t>No registra pagos en el periodo</t>
  </si>
  <si>
    <t>Registran pagos al mes de marzo</t>
  </si>
  <si>
    <t>Registran pagos al mes de abril</t>
  </si>
  <si>
    <t>Registran pagos al mes de mayo</t>
  </si>
  <si>
    <t>Registran pagos al mes de junio</t>
  </si>
  <si>
    <t>Registran pagos al mes de julio</t>
  </si>
  <si>
    <t>099001</t>
  </si>
  <si>
    <t xml:space="preserve">Calle Tiburcio Montiel N° 15, Colonia San Miguel Chapultepec, Ciudad de México </t>
  </si>
  <si>
    <t>Oficinas Adminsitrativas</t>
  </si>
  <si>
    <t>Río Hudson N°6 esquina  Río Pánuco N° 224, Colonia Cuauhtémoc, Delegación Cuauhtémoc, Ciudad de México</t>
  </si>
  <si>
    <t>Calle Hamburgo N° 18, Colonia Juárez, Delegación Cuauhtémoc, Ciudad de México</t>
  </si>
  <si>
    <t>Avenida Revolución No.1586, Colonia San Ángel, Delegación Álvaro Obregón, Ciudad de México</t>
  </si>
  <si>
    <t>Oficinas Adminsitrativas OIC</t>
  </si>
  <si>
    <t>Calle Hamburgo N° 64, Colonia Juárez, Delegación Cuauhtémoc, Ciudad de México</t>
  </si>
  <si>
    <t>Calle Cozumel N° 43, Colonia Roma Norte, Delegación Cuauhtémoc, Ciudad de México</t>
  </si>
  <si>
    <t>Calle Havre No. 7 Col. Juárez, Alcaldía Cuauhtémoc</t>
  </si>
  <si>
    <t>Unidad del programa IMSS- Bienestar</t>
  </si>
  <si>
    <t>Río Hudson N°6, esquina Río Pánuco N° 224, Colonia Cuauhtémoc, Delegación Cuauhtémoc, Ciudad de México</t>
  </si>
  <si>
    <t>Oficinas Administrativas OIC</t>
  </si>
  <si>
    <t>Villa Unión</t>
  </si>
  <si>
    <t>Calle Morelos N°. 106, Colonia  Refugio, Villa Unión</t>
  </si>
  <si>
    <r>
      <t>UNIDAD DE MEDICINA FAMILIAR N°. 4</t>
    </r>
    <r>
      <rPr>
        <sz val="14"/>
        <rFont val="Arial"/>
        <family val="2"/>
      </rPr>
      <t>*</t>
    </r>
  </si>
  <si>
    <t>Cuencame</t>
  </si>
  <si>
    <t>Calle Morelos N°. 416 Oriente, Colonia Centro, Cuencame</t>
  </si>
  <si>
    <t>UNIDAD DE MEDICINA FAMILIAR N°. 14</t>
  </si>
  <si>
    <t>Nazas</t>
  </si>
  <si>
    <t>Avenida Allende No. 31, Nazas</t>
  </si>
  <si>
    <t>UNIDAD DE MEDICINA FAMILIAR NO. 48</t>
  </si>
  <si>
    <t>Durango</t>
  </si>
  <si>
    <t>Carretera al Mezquital, No. 219, Fraccionamiento Real del Mezquital</t>
  </si>
  <si>
    <t>UNIDAD DE MEDICINA FAMILIAR N°.  49</t>
  </si>
  <si>
    <t>Nombre de Dios</t>
  </si>
  <si>
    <t>Calle Leandro Fernandez S/N. Colonia en Nombre de Dios, Nombre de Dios</t>
  </si>
  <si>
    <r>
      <t>UNIDAD DE MEDICINA FAMILIAR N°.  52</t>
    </r>
    <r>
      <rPr>
        <sz val="16"/>
        <rFont val="Arial"/>
        <family val="2"/>
      </rPr>
      <t>*</t>
    </r>
  </si>
  <si>
    <t>Santa María del Oro</t>
  </si>
  <si>
    <t>Calle Juárez No. 77, Zona Centro, Santa María del Oro</t>
  </si>
  <si>
    <r>
      <t>UNIDAD DE MEDICINA FAMILIAR N°.  47</t>
    </r>
    <r>
      <rPr>
        <sz val="14"/>
        <rFont val="Arial"/>
        <family val="2"/>
      </rPr>
      <t>*</t>
    </r>
  </si>
  <si>
    <t>Pueblo Nuevo</t>
  </si>
  <si>
    <t>Domicilio Conocido, San Jerónimo, Colonia Centro, Pueblo Nuevo</t>
  </si>
  <si>
    <t>PUESTO DE ENFERMERÍA Nº. 77</t>
  </si>
  <si>
    <t>Gómez Palacio</t>
  </si>
  <si>
    <t>Avenida Miguel Hidalgo No. 110 Sur, Colonia Centro, C.P. 35000, Gómez Palacio, Durango</t>
  </si>
  <si>
    <t>TIENDA N°. 115</t>
  </si>
  <si>
    <t>Calle Juárez N° 104 Sur, Planta Baja,  Mezzanine y Pisos 1°, 2° y 3º, Durango</t>
  </si>
  <si>
    <t>OFICINAS ADMINISTRATIVAS DELEGACIONALES</t>
  </si>
  <si>
    <t>Calle Juárez N° 403  Oriente esquina con Allende Pisos 1º, 2º, 3º y 4º, Gómez Palacio</t>
  </si>
  <si>
    <t>Calle Bruno Martínez No. 379 norte, colonia Vicitoria de Durango Centro.</t>
  </si>
  <si>
    <t>Calle Circuito Central N°  240, Parque Industrial Lagunero, Gómez Palacio</t>
  </si>
  <si>
    <t>BODEGA BIENES EMBARGADOS Y ARCHIVO</t>
  </si>
  <si>
    <t>Calle Segunda de Selenio No. 139, Ciudad Industrial, en Durango, Durango</t>
  </si>
  <si>
    <t>ALMACEN</t>
  </si>
  <si>
    <t>Calle Libramiento Periferico Norte No. 1675 norte,colonia Placido Domingo Ciudad Lerdo, en Durango, Durango</t>
  </si>
  <si>
    <t>BODEGA DE ARCHIVO DE CONCENTRACION, BIENES ADJUDICADOS Y DE BAJA</t>
  </si>
  <si>
    <t>Calle Níspero No. 214, Fraccionamiento Campestre Jacarandas, C.P. 34106, Durango, Durango</t>
  </si>
  <si>
    <t>BODEGA DE ARCHIVO DE CONCENTRACION, BIENES ADJUDICADOS</t>
  </si>
  <si>
    <t>Registra pagos al mes de junio</t>
  </si>
  <si>
    <t>Calle Libramiento Periferico Norte No.1675 nte, Col. Placido Domingo Ciudad Lerdo, en Durango, Durango</t>
  </si>
  <si>
    <t xml:space="preserve">BODEGA DE ARCHIVO DE CONCENTRACION, BIENES ADJUDICADOS Y DE BAJA  </t>
  </si>
  <si>
    <t xml:space="preserve">112408 </t>
  </si>
  <si>
    <t>Celaya</t>
  </si>
  <si>
    <t>Boulevard Adolfo López Mateos Poniente, No. 406, Zona Centro, Celaya</t>
  </si>
  <si>
    <t>CONSULTORIOS MEDICOS. EXTENSIÓN DE LA UNIDAD DE  MEDICINA FAMILIAR Nº. 49</t>
  </si>
  <si>
    <t xml:space="preserve">119103 </t>
  </si>
  <si>
    <t>Calle Paseo de Guanajuato N° 110, Colonia Jardines de Celaya, Primera Sección, Celaya</t>
  </si>
  <si>
    <t xml:space="preserve">OFICINAS ADMINISTRATIVAS SUBDELEGACIONALES </t>
  </si>
  <si>
    <t xml:space="preserve">119104 </t>
  </si>
  <si>
    <t>Salamanca</t>
  </si>
  <si>
    <t>Calle Aldama Nº. 321-B, Zona Centro, Salamanca</t>
  </si>
  <si>
    <t xml:space="preserve">115903 </t>
  </si>
  <si>
    <t>Calle Aztecas N°.  107, Colonia Parque Central, Zona Centro, Celaya</t>
  </si>
  <si>
    <t>TIENDA NO. 21</t>
  </si>
  <si>
    <t xml:space="preserve">115902 </t>
  </si>
  <si>
    <t>Irapuato</t>
  </si>
  <si>
    <t>Calle Francisco Eduardo Tres Guerra N°. 735 (171), Zona Centro, Irapuato</t>
  </si>
  <si>
    <t>TIENDA NO. 20 Y BODEGA DE BIENES EMBARGADOS</t>
  </si>
  <si>
    <t xml:space="preserve">115905 </t>
  </si>
  <si>
    <t>León</t>
  </si>
  <si>
    <t>Boulevard Venustiano Carranza No. 205, Colonia San Miguel. C. P. 37235, León, G</t>
  </si>
  <si>
    <t>TIENDA NO. 19</t>
  </si>
  <si>
    <t xml:space="preserve">118002 </t>
  </si>
  <si>
    <t>Calle Lázaro Cárdenas No. 100, Colonia Tres Guerras, Celaya</t>
  </si>
  <si>
    <t>119101</t>
  </si>
  <si>
    <t>Guanajuato</t>
  </si>
  <si>
    <t>Carretera Guanajuato Juventino Rosas Km. 5+570 Bajos, Jalapa de Mineral de Marfil.</t>
  </si>
  <si>
    <t xml:space="preserve">BODEGA DE BIENES EMBARGADOS </t>
  </si>
  <si>
    <t>Calle Guanajuato No. 43, colonia Santa Teresa, Guanajuato, Gto</t>
  </si>
  <si>
    <t xml:space="preserve">118101 </t>
  </si>
  <si>
    <t>Calle Estocolmo Nº. 404, Colonia Andrade, León</t>
  </si>
  <si>
    <t>BODEGA DE DIVERSOS, ARCHIVO DE CONCENTRACIÓN Y BIENES EMBARGADOS</t>
  </si>
  <si>
    <t>Calle Isaac Newton Nº. 112, Colonia El Peluchan, C.P. 37119, León, Guanajuato</t>
  </si>
  <si>
    <t>SUBALMACEN DELEGACIONAL</t>
  </si>
  <si>
    <t>119111</t>
  </si>
  <si>
    <t>Calle Río Conchos Nº. 434, Barrio San Miguel, León</t>
  </si>
  <si>
    <t xml:space="preserve"> BIENES EMBARGADOS</t>
  </si>
  <si>
    <t>TIENDA No. 21</t>
  </si>
  <si>
    <t>TIENDA No. 20 Y BODEGA DE BIENES EMBARGADOS</t>
  </si>
  <si>
    <t>TIENDA No. 19</t>
  </si>
  <si>
    <t xml:space="preserve">calle Lázaro Cárdenas No. 100, colonia Tres Guerras, Celaya, </t>
  </si>
  <si>
    <t xml:space="preserve">Sustitución </t>
  </si>
  <si>
    <t>Calle Río Conchos Nº. 434, Barrio de San Miguel, León</t>
  </si>
  <si>
    <t>Registra pagos al mes de julio</t>
  </si>
  <si>
    <t>PT30</t>
  </si>
  <si>
    <t>Tierra Colorada</t>
  </si>
  <si>
    <t>Costado de Carretera a Ayutla Municipio Juan R. Escudero, Tierra Colorada</t>
  </si>
  <si>
    <t>UNIDAD DE MEDICINA FAMILIAR Nº. 7</t>
  </si>
  <si>
    <t>Pagado al mes de junio 2021.</t>
  </si>
  <si>
    <t>Atoyac de Álvarez</t>
  </si>
  <si>
    <t>Ignacio Allende No. 4 Colonia Centro, Atoyac de Álvarez</t>
  </si>
  <si>
    <t>UNIDAD DE MEDICINA FAMILIAR Nº. 11</t>
  </si>
  <si>
    <t>Pagado al mes de mayo 2021.</t>
  </si>
  <si>
    <t>Petacalco</t>
  </si>
  <si>
    <t>Calle Vicente Suárez S/N, Colonia Petacalco, Municipio La Unión de Isidoro, Montes de Oca Suárez, Petacalco</t>
  </si>
  <si>
    <t>UNIDAD DE MEDICINA FAMILIAR Nº. 27</t>
  </si>
  <si>
    <t>Pagado al mes de mayo-</t>
  </si>
  <si>
    <t>Teloloapan</t>
  </si>
  <si>
    <t>Calle Cuauhtémoc Nº.  11, Colonia Centro, Teloloapan</t>
  </si>
  <si>
    <t>UNIDAD DE MEDICINA FAMILIAR Nº. 22</t>
  </si>
  <si>
    <t>Zihuatanejo</t>
  </si>
  <si>
    <t>Lote 11 Manzana 1, Súper Manzana XXVI, Zihuatanejo</t>
  </si>
  <si>
    <t xml:space="preserve">GUARDERIA </t>
  </si>
  <si>
    <t>Pagado al mes de marzo.</t>
  </si>
  <si>
    <t>Lote 5, Manzana 14, Avenida Paseo de Zihuatanejo Poniente Nº. 5, Colonia El Limón, Zihuatanejo</t>
  </si>
  <si>
    <t xml:space="preserve">CENTRO DE SEGURIDAD SOCIAL </t>
  </si>
  <si>
    <t>Tlapa de Comonfort</t>
  </si>
  <si>
    <t>Carretera Tlapa-Marquelia (o Amapola), esquina Calle Sin Nombre, Colonia San Nicolás (Aviación), Tlapa de Comonfort</t>
  </si>
  <si>
    <t>UNIDAD DE MEDICINA FAMILIAR N° 30</t>
  </si>
  <si>
    <t>No registra pagos al periodo</t>
  </si>
  <si>
    <t>139001</t>
  </si>
  <si>
    <t>Pachuca</t>
  </si>
  <si>
    <t>Boulevard Luis Donaldo Colosio No. 4604, Fraccionamiento del Palmar, Pachuca</t>
  </si>
  <si>
    <t xml:space="preserve">OFICINAS ADMINISTRATIVAS DELEGACIONALES </t>
  </si>
  <si>
    <t>Registro de pago al mes de marzo</t>
  </si>
  <si>
    <t>Carretera a Acayuca No. 277, colonia  Pequeña Propiedad, Zapotlán de Juárez</t>
  </si>
  <si>
    <t xml:space="preserve">Almacén Delegacional </t>
  </si>
  <si>
    <t>Cerrada De Frambuesa N.° 2, Piso 2, Fraccionamiento La Huerta, Colonia Centro, C.P. 42300</t>
  </si>
  <si>
    <t>Boulevard Luis Donaldo Colosio N.4604, Fraccionamiento El Palmar II, Pachuca De Soto, Hidalgo, C.P. 42088.</t>
  </si>
  <si>
    <t>Oficinas Administrativas EGAS</t>
  </si>
  <si>
    <t xml:space="preserve">Pago registrados al mes de julio. </t>
  </si>
  <si>
    <t>Almacén Delegacional</t>
  </si>
  <si>
    <t xml:space="preserve">Pago registrados al mes de marzo, IMSS-BIENESTAR </t>
  </si>
  <si>
    <t xml:space="preserve">Pago registrados al mes de febrero, IMSS-BIENESTAR </t>
  </si>
  <si>
    <t>Hermosillo</t>
  </si>
  <si>
    <t>Calle Nebulosa No. 10, Colonia Puerta del Sol, Amatitan</t>
  </si>
  <si>
    <r>
      <t>UNIDAD DE MEDICINA FAMILIAR N°. 11</t>
    </r>
    <r>
      <rPr>
        <sz val="16"/>
        <color indexed="8"/>
        <rFont val="Arial"/>
        <family val="2"/>
      </rPr>
      <t>*</t>
    </r>
  </si>
  <si>
    <t>Pitiquito</t>
  </si>
  <si>
    <t>Calle Hidalgo N°. 45, Arenal</t>
  </si>
  <si>
    <t>UNIDAD DE MEDICINA FAMILIAR N°. 12 *</t>
  </si>
  <si>
    <t>Yavaros</t>
  </si>
  <si>
    <t>Calle Hidalgo No. 10, Atenquique</t>
  </si>
  <si>
    <t>UNIDAD DE MEDICINA FAMILIAR N°. 17</t>
  </si>
  <si>
    <t>Ciudad Obregón</t>
  </si>
  <si>
    <t xml:space="preserve">Avenida González Gallo S/N 9, Colonia Chapala Centro, Jalisco </t>
  </si>
  <si>
    <t>UNIDAD DE MEDICINA FAMILIAR N°. 40</t>
  </si>
  <si>
    <t>Calle  Vicente Guerrero No. 875, Colonia La Asunción, Tlaquepaque, Jalisco</t>
  </si>
  <si>
    <t>UNIDAD DE MEDICINA FAMILIAR N°. 54*</t>
  </si>
  <si>
    <t>Agua Prieta</t>
  </si>
  <si>
    <t>Calle Ramón Corona N°. 55, Acatlán de Juárez</t>
  </si>
  <si>
    <t>UNIDAD DE MEDICINA FAMILIAR N°.  56*</t>
  </si>
  <si>
    <t>Nogales</t>
  </si>
  <si>
    <t>Calle Mariano Bárcenas y Privada Veracruz, Sector Hidalgo, Guadalajara</t>
  </si>
  <si>
    <t>UNIDAD DE MEDICINA FAMILIAR N°. 79</t>
  </si>
  <si>
    <t>Calle Allende  N°. 97, Yahualica de González</t>
  </si>
  <si>
    <t>UNIDAD DE MEDICINA FAMILIAR N°.  94*</t>
  </si>
  <si>
    <t>Calle Francisco I. Madero No. 295, Mascota</t>
  </si>
  <si>
    <t>UNIDAD DE MEDICINA FAMILIAR N°. 96</t>
  </si>
  <si>
    <t>Guaymas</t>
  </si>
  <si>
    <t>Calle Negrete  N°. 129, Jamay</t>
  </si>
  <si>
    <t>UNIDAD DE MEDICINA FAMILIA N°. 100</t>
  </si>
  <si>
    <t>Navojoa</t>
  </si>
  <si>
    <t>Calle Javier Mina  Nº. 28, Gómez Farías</t>
  </si>
  <si>
    <t>UNIDAD DE MEDICINA FAMILIAR Nº. 114</t>
  </si>
  <si>
    <t>Avenida Jesús María No. 80, Jesús María</t>
  </si>
  <si>
    <t>UNIDAD DE MEDICINA FAMILIAR N°. 159</t>
  </si>
  <si>
    <t>Calle Manuel Martínez Tinajero  N°. 611,  colonia Mascota, Ocotlán</t>
  </si>
  <si>
    <t>UNIDAD DE MEDICINA FAMILIAR N°. 169</t>
  </si>
  <si>
    <t>Calle Emeterio Jiménez N°. 9, San Martín Bolaños</t>
  </si>
  <si>
    <t>UNIDAD DE ATENCION PRIMARIA A LA SALUD N°. 106</t>
  </si>
  <si>
    <t>Cajeme Ciudad Obregón</t>
  </si>
  <si>
    <t>Calle Guanajuato N°. 92, Valle De Juárez</t>
  </si>
  <si>
    <t>UNIDAD DE ATENCION PRIMARIA A LA SALUD N°. 120*</t>
  </si>
  <si>
    <t>Calle Guadalupe Victoria S/N, Ojuelos</t>
  </si>
  <si>
    <t>UNIDAD DE ATENCION PRIMARIA A LA SALUD N°. 130</t>
  </si>
  <si>
    <t>142493**140103</t>
  </si>
  <si>
    <t>Calle 5 de Mayo S/N, San Diego de Alejandría</t>
  </si>
  <si>
    <t>UNIDAD DE ATENCIÓN PRIMARIA A LA SALUD N°. 131</t>
  </si>
  <si>
    <t>Calle Prolongación 5 de Mayo N°. 9, Colonia El Tepeyac, Unión de San Antonio, Jalisco</t>
  </si>
  <si>
    <t>UNIDAD DE ATENCIÓN PRIMARIA A LA SALUD N°. 133</t>
  </si>
  <si>
    <t>Calle Florentino Martin No. 177, Colonia San Juan Bosco, Valle de Guadalupe</t>
  </si>
  <si>
    <t>UNIDAD DE ATENCIÓN PRIMARIA A LA SALUD N°. 134</t>
  </si>
  <si>
    <t>Calle Allende Nº. 36, Villa Hidalgo</t>
  </si>
  <si>
    <t>UNIDAD DE ATENCIÓN PRIMARIA A LA SALUD N°. 135</t>
  </si>
  <si>
    <t>Calle Privada J. Isabel Valdivia Nº. 1, esquina Flavio Romero, Cañadas de Obregón</t>
  </si>
  <si>
    <t>UNIDAD DE ATENCIÓN PRIMARIA A LA SALUD N°. 136</t>
  </si>
  <si>
    <t>Calle Hidalgo N°. 73, San Juanito de Escobedo</t>
  </si>
  <si>
    <t>UNIDAD DE ATENCIÓN PRIMARIA A LA SALUD N°. 137</t>
  </si>
  <si>
    <t>Calle Ramón Corona N°.  363, Tizapan El Alto</t>
  </si>
  <si>
    <t>UNIDAD DE ATENCIÓN PRIMARIA A LA SALUD N°. 155</t>
  </si>
  <si>
    <t>Calle Reforma No. 160, Degollado</t>
  </si>
  <si>
    <t>UNIDAD DE ATENCIÓN PRIMARIA A LA SALUD N°. 165</t>
  </si>
  <si>
    <t>Calle San Felipe N°.  1066, Sector Hidalgo, Guadalajara</t>
  </si>
  <si>
    <t>CONSULTORIOS DEL HOSPITAL GENERAL REGIONAL N°. 45</t>
  </si>
  <si>
    <t>Avenida Juan Pablo II No. 55, Colonia El  Capullo, Zapopan</t>
  </si>
  <si>
    <t>CENTRO COMUNITARIO DE SALUD MENTAL</t>
  </si>
  <si>
    <t>Calle Moctezuma N°.  655, Ocotlán</t>
  </si>
  <si>
    <t>Calzada Independencia N°. 580, Sector Libertad, Guadalajara</t>
  </si>
  <si>
    <t>Calle Matamoros N°. 516, Tepatitlán</t>
  </si>
  <si>
    <t xml:space="preserve">OFICINAS ADMINISTRATIVAS DEL HOSPITAL GENERAL DE ZONA Nº. 21 Y BODEGA DE BIENES EMBARGADOS  </t>
  </si>
  <si>
    <t>145907 149102</t>
  </si>
  <si>
    <t>380200 900110</t>
  </si>
  <si>
    <t>Calle Cristóbal Colon N°. 750, Colonia Centro, Ciudad Guzmán</t>
  </si>
  <si>
    <t>OFICINAS ADMINISTRATIVAS SUBDELEGACIONALES  Y TIENDA</t>
  </si>
  <si>
    <t>Avenida 20 de Noviembre Nº 330, Colonia Centro El Pitillal, Puerto Vallarta</t>
  </si>
  <si>
    <t>Calle Periférico Sur N°. 8000 Santa María Tequepexpan, Tlaquepaque, Guadalajara</t>
  </si>
  <si>
    <t>140202*148101</t>
  </si>
  <si>
    <t>Calle Hidalgo N°.  195, Autlán de Navarro</t>
  </si>
  <si>
    <t>ALMACEN DE ABASTECIMIENTO DEL HOSPITAL GENERAL DE ZONA Nº. 20 Y BODEGA DE BIENES EMBARGADOS</t>
  </si>
  <si>
    <t>149001 149001</t>
  </si>
  <si>
    <t>910100 920201</t>
  </si>
  <si>
    <t>Calle Analco N°. 204 Sector Reforma, Guadalajara</t>
  </si>
  <si>
    <t>BODEGA DE BIENES EMBARGADOS Y DEL CATALOGO DE ARCHIVOS ORIGINALES (CAO)</t>
  </si>
  <si>
    <t>}</t>
  </si>
  <si>
    <t>Registra pago al mes de junio</t>
  </si>
  <si>
    <t>Registra pago al mes de julio</t>
  </si>
  <si>
    <t>Cancelado</t>
  </si>
  <si>
    <t>Naucalpan</t>
  </si>
  <si>
    <t xml:space="preserve">Calle Recursos Hidraúlicos No. 2, colonia La Loma, Tlalnepantla </t>
  </si>
  <si>
    <t>162403</t>
  </si>
  <si>
    <t>Toluca</t>
  </si>
  <si>
    <t>Calle Urawa Nº 121, Toluca</t>
  </si>
  <si>
    <t>UNIDAD MEDICINA FAMILIAR Nº.230 COMISIÓN FEDERAL DE ELECTRICIDAD</t>
  </si>
  <si>
    <t>162436</t>
  </si>
  <si>
    <t>Villa Guerrero</t>
  </si>
  <si>
    <t>Calle Rayón S/N. Colonia Centro, Villa Guerrero</t>
  </si>
  <si>
    <t>UNIDAD MEDICINA FAMILIAR Nº. 232</t>
  </si>
  <si>
    <t>162430</t>
  </si>
  <si>
    <t>Valle de Bravo</t>
  </si>
  <si>
    <t>Calle San Pablo No. 117, Colonia San Antonio, Valle de Bravo</t>
  </si>
  <si>
    <t>UNIDAD MEDICINA FAMILIAR Nº. 233</t>
  </si>
  <si>
    <t>Calle Josefa Ortiz de Domínguez Nº. 210 Sur, Barrio San Sebastián, Toluca, Estado de México Poniente</t>
  </si>
  <si>
    <t>Oficinas Administrativas Delegacionales</t>
  </si>
  <si>
    <t>Metepec</t>
  </si>
  <si>
    <t>José María Pino Suárez No. 202, Col. Santa Clara, Toluca</t>
  </si>
  <si>
    <t>OFICINAS ADMINISTRATIVAS DE LA JEFATURA DE SERVICIOS JURÍDICOS</t>
  </si>
  <si>
    <t>165901</t>
  </si>
  <si>
    <t>Calle Miguel Hidalgo y Costilla Oriente No.400 esq.Pino Suarez, col.5 de mayo, Toluca.</t>
  </si>
  <si>
    <t>168002</t>
  </si>
  <si>
    <t>Calle Francisco  I. Madero Nº. 40, El Carmen Totoltepec, Metepec</t>
  </si>
  <si>
    <t>169101</t>
  </si>
  <si>
    <t>900110</t>
  </si>
  <si>
    <t>Avenida Lomas Verdes No. 414, colonia Santiago Occipaco, Naucalpan</t>
  </si>
  <si>
    <t xml:space="preserve">Calle Hidalgo No. 800, interior 12, Fraccionamietno Villas Country, Metepec </t>
  </si>
  <si>
    <t xml:space="preserve">Av. Miguel Hidalgo 608, San Sebastian , Toluca, Estado De Mexico </t>
  </si>
  <si>
    <t>Registro de pagos al mes de julio</t>
  </si>
  <si>
    <t>Registro de pagos al mes de junio</t>
  </si>
  <si>
    <t>669001</t>
  </si>
  <si>
    <t>073110</t>
  </si>
  <si>
    <t>Los Reyes</t>
  </si>
  <si>
    <t xml:space="preserve">Calle Dr. Ramón Macías Nº. 34,esq, Profesor Santos Campos; col Santa Rosa, Los reyes  de Salgado,  Los Reyes Michoacán </t>
  </si>
  <si>
    <t>CENTRO DE SEGURIDAD SOCIAL</t>
  </si>
  <si>
    <t>Zamora</t>
  </si>
  <si>
    <t>Calle Dr. Alonso Martínez Nº. 660 Sur, Planta Baja y Piso 2, Fraccionamiento Jardinadas, Zamora</t>
  </si>
  <si>
    <t>Zitácuaro</t>
  </si>
  <si>
    <t>Calle Dr. Emilio Garcia Norte Nº. 90 Centro, Zitácuaro</t>
  </si>
  <si>
    <t>Uruapan</t>
  </si>
  <si>
    <t>Calle Chiapas esquina Francisco Sarabia Nº. 93 Interior 113, Centro, Uruapan</t>
  </si>
  <si>
    <t>Calle Pino Suárez Sur No. 44,Colonia Centro, Zamora</t>
  </si>
  <si>
    <t>Morelia</t>
  </si>
  <si>
    <t>Calle Madero Pte. Nº. 3980, Hacienda San Diego, Morelia</t>
  </si>
  <si>
    <t>TIENDA NO.27</t>
  </si>
  <si>
    <t>Tacícuaro</t>
  </si>
  <si>
    <t>Avenida Francisco I. Madero Poniente N° 14,003, Tacícuaro</t>
  </si>
  <si>
    <t>BODEGA BIENES EMBARGADOS Y ARCHIVO DE CONCENTRACION</t>
  </si>
  <si>
    <t>Calle Cordillera del Himalaya No. 520, Fraccionamiento Residencial Bosque Monarca, Morelia</t>
  </si>
  <si>
    <t>Totales</t>
  </si>
  <si>
    <t>Cuautla</t>
  </si>
  <si>
    <t>Calle Reforma Nº. 1 Colonia Casasano, Cuautla</t>
  </si>
  <si>
    <t>UNIDAD DE MEDICINA FAMILIAR Nº. 15</t>
  </si>
  <si>
    <t>Tepoztlán</t>
  </si>
  <si>
    <t>Calle Paraíso Nº. 24, Colonia Barrio de San Miguel, Tepoztlán</t>
  </si>
  <si>
    <t>UNIDAD DE MEDICINA FAMILIAR Nº. 19</t>
  </si>
  <si>
    <t>Cuernavaca</t>
  </si>
  <si>
    <t>Avenida Morelos Sur No. 137, Local Interior 6, Colonia Las Palmas, Cuernavaca</t>
  </si>
  <si>
    <t>Avenida Maganolia No. 102-A, Rancho Cortes, Cuernavaca</t>
  </si>
  <si>
    <t>CASA TOOAD</t>
  </si>
  <si>
    <t>No registra pagos en el periodo enero-junio</t>
  </si>
  <si>
    <t>No registr pagos al periodo</t>
  </si>
  <si>
    <t>Calle Niño Obrero N°. 319, Colonia Ciudad Industrial, Tepic</t>
  </si>
  <si>
    <t>BODEGA DE BIENES EMBARGADOS Y ARCHIVO DE CONCENTRACION</t>
  </si>
  <si>
    <t>699001</t>
  </si>
  <si>
    <t>Calle Halcón N° 7, Colonia El Tecolote, C.P. 63135, Tepic, Nayarit</t>
  </si>
  <si>
    <t>San Rafael Galeana</t>
  </si>
  <si>
    <t>Km. 178 de la Carretera Central, San Rafael Galeana</t>
  </si>
  <si>
    <t>UNIDAD DE MEDICINA FAMILIAR N°.  52</t>
  </si>
  <si>
    <t>Guadalupe</t>
  </si>
  <si>
    <t>Avenida Benito Juarez  N°. 2000,  Fraccionamiento La Hacienda, Guadalupe</t>
  </si>
  <si>
    <t>Montemorelos</t>
  </si>
  <si>
    <t>Capitan Alfonso de León No. 002, Colonia Centro, Montemorelos</t>
  </si>
  <si>
    <t>Apodaca</t>
  </si>
  <si>
    <t>Carretera a Huinala No. 100, Colonia Ex Hacienda de la Encarnación, Apodaca</t>
  </si>
  <si>
    <t>Monterrey</t>
  </si>
  <si>
    <t>Calle La Rioja N°. 1013, Fraccionamiento Residencial La Española, Monterrey</t>
  </si>
  <si>
    <t xml:space="preserve">BODEGA BIENES EMBARGADOS </t>
  </si>
  <si>
    <t>Calle Washington N°. 1004, interior 1907, colonia Centro, Monterrey</t>
  </si>
  <si>
    <t>Renta 
Mesual</t>
  </si>
  <si>
    <t>Registro de pagos al mes de diciembre</t>
  </si>
  <si>
    <t>Ixtlán de Juárez</t>
  </si>
  <si>
    <t>Carretera Ciudad Alemán-Oaxaca Km 176.5, Ixtlán de Juárez</t>
  </si>
  <si>
    <t>UNIDAD DE MEDICINA FAMILIAR Nº. 40</t>
  </si>
  <si>
    <t xml:space="preserve"> Asignado </t>
  </si>
  <si>
    <t xml:space="preserve"> Ejercido </t>
  </si>
  <si>
    <t>San Pedro y San Pablo Villa Etla</t>
  </si>
  <si>
    <t>Calle Pino Suárez, Nº.33, Colonia Centro, San José  Villa Etla, Oaxaca</t>
  </si>
  <si>
    <t>UNIDAD DE MEDICINA FAMILIAR Nº. 57</t>
  </si>
  <si>
    <t>Oaxaca</t>
  </si>
  <si>
    <t>Avenida Hidalgo No. 1404, esquina González Ortega, Colonia Centro, Oaxaca</t>
  </si>
  <si>
    <t>GUARDERIA  Nº. 01</t>
  </si>
  <si>
    <t>310 203</t>
  </si>
  <si>
    <t>Heroica Escuela Naval Militar No. 703, colonia Reforma, Oaxaca</t>
  </si>
  <si>
    <t>Calle Violetas No. 1007, colonia Reforma, Oaxaca</t>
  </si>
  <si>
    <t>Calle Armenta y  López Nº. 821 Colonia Centro, Oaxaca</t>
  </si>
  <si>
    <t>OFICINAS ADMINISTRATIVAS  SUBDELEGACIONALES Y DELEGACIONALES</t>
  </si>
  <si>
    <t>Tuxtepec</t>
  </si>
  <si>
    <t>Avenida 5 de Mayo Nº. 1298, Tuxtepec</t>
  </si>
  <si>
    <t>Calle Reforma No. 905, Colonia Centro, Oaxaca</t>
  </si>
  <si>
    <t xml:space="preserve">OFICINAS ADMINISTRATIVAS  </t>
  </si>
  <si>
    <t>Calle Arista Nº. 185,Colonia Centro, Tuxtepec</t>
  </si>
  <si>
    <t>Matías Romero</t>
  </si>
  <si>
    <t>Calle Hombres Ilustres Nº. 910, Matías Romero</t>
  </si>
  <si>
    <t>Huajuapan de León</t>
  </si>
  <si>
    <t>Calle Azucenas esquina Dalias, Huajuapan de León</t>
  </si>
  <si>
    <t>Asunción Tlaxiaco</t>
  </si>
  <si>
    <t>Avenida Morelos Nº. 21, Colonia Centro, Asunción Tlaxiaco</t>
  </si>
  <si>
    <t>Puerto Escondido</t>
  </si>
  <si>
    <t>Avenida Hidalgo Nº. 307, Puerto Escondido</t>
  </si>
  <si>
    <t>Calle Murguía Nº. 509 esquina Libres, Oaxaca</t>
  </si>
  <si>
    <t>Calle Melchor Ocampo No. 30 Barrio del Calvario Nochitlán, Oaxaca</t>
  </si>
  <si>
    <t>CONSULTORIOS CFE</t>
  </si>
  <si>
    <t>Prolongación Universidad No. 801, Agencia Candiani, Oaxaca.</t>
  </si>
  <si>
    <t>BODEGA Y ARCHIVO DE CONCENTRACION</t>
  </si>
  <si>
    <t>Calle Privada de Araucaria No. 110-B, Fraccionamiento el Chopo, Oaxaca.</t>
  </si>
  <si>
    <t>219302</t>
  </si>
  <si>
    <t>Calle Daniel Soto No.115 Colonia Lázaro Cárdenas, San Juan Bautista Tuxtepec, Oaxaca. C.P. 68320</t>
  </si>
  <si>
    <t>219305</t>
  </si>
  <si>
    <t>Calle Morelos No. 207 Colonia Centro, Miahuatlán De Porfirio Díaz, Oaxaca. C.P.70805</t>
  </si>
  <si>
    <t>Calle Reforma número 205,Colonia Centro, Oaxaca De Juárez, Oaxaca. C.P.68000</t>
  </si>
  <si>
    <t>222403</t>
  </si>
  <si>
    <t>Puebla</t>
  </si>
  <si>
    <t xml:space="preserve">Calle Nardos No 31, col. Bugambilias, 72580 Puebla </t>
  </si>
  <si>
    <t>UNIDAD DE MEDICINA FAMILIAR Nº. 13</t>
  </si>
  <si>
    <t>Pago al mes de junio 2021.</t>
  </si>
  <si>
    <t>222423</t>
  </si>
  <si>
    <t>200200</t>
  </si>
  <si>
    <t>Nuevo Necaxa</t>
  </si>
  <si>
    <t>Avenida 1° de Mayo Nº. 237, Colonia Centro, Nuevo Necaxa</t>
  </si>
  <si>
    <t>UNIDAD DE MEDICINA FAMILIAR Nº. 18</t>
  </si>
  <si>
    <t>222428</t>
  </si>
  <si>
    <t>Atlixco</t>
  </si>
  <si>
    <t>Avenida Manuel Avila Camacho Nº. 1102 esquina con Calle 11 Sur, Colonia Centro, Atlixco</t>
  </si>
  <si>
    <t>UNIDAD DE MEDICINA FAMILIAR Nº. 34</t>
  </si>
  <si>
    <t>Tlatlauquitepec</t>
  </si>
  <si>
    <t>Avenida Revolución No. 5, Colonia Centro, Tlatlauquitepec</t>
  </si>
  <si>
    <t xml:space="preserve">UNIDAD DE MEDICINA FAMILIAR NO. 46 </t>
  </si>
  <si>
    <t>225301</t>
  </si>
  <si>
    <t>310203</t>
  </si>
  <si>
    <t>Cholula</t>
  </si>
  <si>
    <t>Avenida 7 Poniente 114-B, colonia Cholule Rivadabía</t>
  </si>
  <si>
    <t>229104</t>
  </si>
  <si>
    <t>Izucar de Matamoros</t>
  </si>
  <si>
    <t>Avenida Benito Juarez Nº. 28, Colonia Centro Plaza Puig Locales 6-13, 18-26, 28 y 29, Izucar de Matamoros</t>
  </si>
  <si>
    <t>OFICINAS ADMINISTRATIVAS  SUBDELEGACIONALES</t>
  </si>
  <si>
    <t>229103</t>
  </si>
  <si>
    <t>Tehuacán</t>
  </si>
  <si>
    <t>Calle 4 Norte No. 120, Colonia Ignacio Zaragoza, Tehuacán</t>
  </si>
  <si>
    <t>229001</t>
  </si>
  <si>
    <t>140100</t>
  </si>
  <si>
    <t>Calle 3 Sur Nº. 2108, Colonia El Carmen, Puebla</t>
  </si>
  <si>
    <t>225901</t>
  </si>
  <si>
    <t>380200</t>
  </si>
  <si>
    <t>Calle Gran Avenida México 86 No. 2602, colonia Morelos, Puebla</t>
  </si>
  <si>
    <t>Privada De Pacheco N°5 Colonia La Guadalupana C.P. 73310</t>
  </si>
  <si>
    <t>Registra pagos al periodo mes de junio</t>
  </si>
  <si>
    <t>Avenida 7 Poniente 114-B, colonia Cholula Rivadabía</t>
  </si>
  <si>
    <t>Registro los pagos de IMSS-BIENESTAR</t>
  </si>
  <si>
    <t>Querétaro</t>
  </si>
  <si>
    <t>Calle Boulevard Bernardo Quintana No. 4100, niveles 4 y 5 Colonia Alamos 3a. Sección, C.P. 76160, Santiago Querétaro</t>
  </si>
  <si>
    <t>Avenida Tecnologico  No. 100, piso 8, Colonia Centro, C.P. 76000, Santiago Querétaro</t>
  </si>
  <si>
    <t>Calle Melchor Ocampo No 66, col. Centro Queretaro</t>
  </si>
  <si>
    <t>San Juan Del Rio</t>
  </si>
  <si>
    <t>Calle Pino Suarez Sur Nº. 97, Colonia Ramos Millán, San Juan Del Rio</t>
  </si>
  <si>
    <t>Calle Artículo 27 Constitucional  Nº. 9, Colonia Casa Blanca, Querétaro</t>
  </si>
  <si>
    <t>BODEGA DE BIENES EMBARGADOS Y ARCHIVO DE CONCENTRACIÓN</t>
  </si>
  <si>
    <t>Calle 27 de Septiembre No. 31-A, Zona Centro, San Juan del Río</t>
  </si>
  <si>
    <t>QUERETARO</t>
  </si>
  <si>
    <t>Felipe Carrillo Puerto</t>
  </si>
  <si>
    <t>Calle  61 Nº. 476, entre Calle 66 y 68, Felipe Carrillo Puerto</t>
  </si>
  <si>
    <t>UMF No. 6</t>
  </si>
  <si>
    <t>Pagos al mes de agosto, sin registro de IVA</t>
  </si>
  <si>
    <t>Chetumal</t>
  </si>
  <si>
    <t>Avenida Carmen Ochoa de Merino, Nº. 149, Colonia Centro, Municipio de Othón y P. Blanco, Chetumal</t>
  </si>
  <si>
    <t>Pagos al mes de agosto.</t>
  </si>
  <si>
    <t xml:space="preserve">Avenida Calzada Veracruz No. 247, colonia Adolfo López Mateos, CP 77010, Othón P. Blanco , Chetumal </t>
  </si>
  <si>
    <t xml:space="preserve">TIENDA </t>
  </si>
  <si>
    <t>Pagos al mes de diciembre registro de IVA</t>
  </si>
  <si>
    <t xml:space="preserve">Carretera Cancún - Puerto Morelos Km. 21, Mza 01 Lote 1 - 11, Col. Supermanzana 47, C.P. 77580, Benito Juárez. </t>
  </si>
  <si>
    <t>Almacén Subdelegacional</t>
  </si>
  <si>
    <t>Registra el pago al mes de marzo</t>
  </si>
  <si>
    <t>Registra el pago al mes de junio.</t>
  </si>
  <si>
    <t>TOTAL</t>
  </si>
  <si>
    <t>Ciudad del Maíz</t>
  </si>
  <si>
    <t>Calle Juan Barragan No. 25, Zona Centro, Ciudad del Maíz</t>
  </si>
  <si>
    <t>UNIDAD DE MEDICINA FAMILIAR Nº. 8</t>
  </si>
  <si>
    <t>Pago al mes de julio</t>
  </si>
  <si>
    <t>Matehuala</t>
  </si>
  <si>
    <t>Matamoros No. 300, Colonia Centro, Matehuala</t>
  </si>
  <si>
    <t>Rio Verde</t>
  </si>
  <si>
    <t>Calle 5 de Mayo Nº. 107 Locales 23 y 25, Rio Verde</t>
  </si>
  <si>
    <t>Calle Mariano Arista Nº. 965,Colonia Tequisquiapan, C.P. 78250,</t>
  </si>
  <si>
    <t>OFICINAS ADMINISTRATIVAS COORDINACIÓN DE INFORMATICA</t>
  </si>
  <si>
    <t>Calle Patria N°160 Fracc. Morales</t>
  </si>
  <si>
    <t>OFICINAS ADMINISTRATIVAS PARA LA COORDINACIÓN DELEGACIONAL DE INFORMÁTICA</t>
  </si>
  <si>
    <t>Calle Mariano Arista Nº. 965,Colonia Tequisquiapan, C.P. 78250</t>
  </si>
  <si>
    <t>759001</t>
  </si>
  <si>
    <t>Sinaloa de Leyva</t>
  </si>
  <si>
    <t>Calle  Benito Juarez y Avenida  Rosales, Sinaloa de Leyva</t>
  </si>
  <si>
    <t>CONSULTORIO MEDICO</t>
  </si>
  <si>
    <t>Cósala</t>
  </si>
  <si>
    <t>Calle Escuela Poste Nº. 8, Colonia Luis Donaldo Colosio, Cósala</t>
  </si>
  <si>
    <t>UNIDAD DE MEDICINA FAMILIAR NO. 50</t>
  </si>
  <si>
    <t>Mazatlán</t>
  </si>
  <si>
    <t>Calle de la Amistad Nos.1168, 1170, 1172 y 1174, Mazatlán</t>
  </si>
  <si>
    <t>269102 
269102
269102
268104</t>
  </si>
  <si>
    <t>900110 
380200
900110
150100</t>
  </si>
  <si>
    <t>Los Mochis</t>
  </si>
  <si>
    <t>Calle Ignacio Zaragoza Nº. 956 Sur, esquina Bienestar locales 4 y 5, Los Mochis</t>
  </si>
  <si>
    <t>OFICINAS ADMINISTRATIVAS SUBDELEGACIONALES
TIENDA</t>
  </si>
  <si>
    <t>Culiacán</t>
  </si>
  <si>
    <t>Boulevard Francisco I. Madero Oriente No. 526, Colonia Centro, Culiacán</t>
  </si>
  <si>
    <t>Guasave</t>
  </si>
  <si>
    <t>Calle Blas Valenzuela Nº.20, esquina  Avenida Ignacio Zaragoza,  Colonia Centro, Guasave</t>
  </si>
  <si>
    <t xml:space="preserve"> OFICINAS ADMINISTRATIVAS SUB DELEGACIONALES Y TIENDA</t>
  </si>
  <si>
    <t>Calle Rio Ameca Nº. 1533, Fraccionamiento Los Pinos, Culiacán</t>
  </si>
  <si>
    <t>ARCHIVO DE CONCENTRACIÓN</t>
  </si>
  <si>
    <t>Carretera Los Mochis Topolobampo Km. 12, Predio Bachomobampo Sindicatura Topolobampo, C.P. 81377, Ahome, Sinaloa</t>
  </si>
  <si>
    <t xml:space="preserve">BODEGA  DE BIENES EMBARGADOS </t>
  </si>
  <si>
    <t>Calle Rio Ameca Nº. 1533,  entre  Pascual Orozco y Lerdo de Tejada, Colonia Los Pinos, Culiacán</t>
  </si>
  <si>
    <t>BODEGA DE BIENES INSTITUCIONALES PARA DISPOSICIÓN FINAL</t>
  </si>
  <si>
    <t>Calle Juan de Dios Bátiz  No. 771 Poniente, Colonia Morelos , Culiacán</t>
  </si>
  <si>
    <t>BODEGA DE BIENES EMBARGADOS DE LA SUBDELEGACIÓN</t>
  </si>
  <si>
    <t>Avenida Rafael Buelna No. 760-D, Colonia Lomas de Mazatlán, Sinaloa.</t>
  </si>
  <si>
    <t>Carretera Culiacán -Sinaloa (tramo El Dorado) No. 4625, colonia Centro de Agronegocios "Parque Industrial Agroindustrias"</t>
  </si>
  <si>
    <t>Sub-Almacen Delegacional</t>
  </si>
  <si>
    <t>320200</t>
  </si>
  <si>
    <t>Calle Ruperto L. Paliza N°. 168 Norte, Colonia Centro, Culiacán</t>
  </si>
  <si>
    <t>TERRENO (SALIDA DE EMERGENCIA GUARDERÍA)</t>
  </si>
  <si>
    <t>Francisco Zarco No. 117 Ote. Colonia Miguel Alemán</t>
  </si>
  <si>
    <t>Registra pagos al mes de febrero.</t>
  </si>
  <si>
    <t>Carretera Culiacán -Sinaloa (tramo El Dorado) No. 4625, colonia Centro de Agronegocios "Parque Industrial Agroindustrias</t>
  </si>
  <si>
    <t>ALMACEN SUBDELEGACIONAL</t>
  </si>
  <si>
    <t>Registra pagos al mes de agosto.</t>
  </si>
  <si>
    <t>73100</t>
  </si>
  <si>
    <t>Calle 14 de Abril y Alberto Gutierrez Nº. 287, Colonia Balderrama, Hermosillo</t>
  </si>
  <si>
    <t>UNIDAD DE MEDICINA FAMILIAR Nº. 2</t>
  </si>
  <si>
    <t>Calle Zaragoza y Libertas S/N, Pitiquito</t>
  </si>
  <si>
    <t>Carretera  Huatabampo Adyacente a la Calle Principal, Yavaros</t>
  </si>
  <si>
    <t>UNIDAD DE MEDICINA FAMILIAR Nº 26</t>
  </si>
  <si>
    <t>Calle Tabasco 851 y 855 Sur, Colonia Centro, Ciudad Obregón</t>
  </si>
  <si>
    <t>UNIDAD DE MEDICINA FAMILIAR N° 67</t>
  </si>
  <si>
    <t>Calle 10 S/N entre Avenida 19 Y 20, Colonia Centro, Agua Prieta</t>
  </si>
  <si>
    <t>275307 278005</t>
  </si>
  <si>
    <t>310203 920201</t>
  </si>
  <si>
    <t>Carretera Internacional Km. 6.5 Nº. 13, Parque Industrial de Nogales, Nogales</t>
  </si>
  <si>
    <t>CENTRO DE SEGURIDAD SOCIAL Y BODEGA DE BIENES EMBARGADOS</t>
  </si>
  <si>
    <t>Calle Jalisco No. 202 Norte, esquina con Allende, Colonia Centro, Ciudad Obregón, se sustituye a partir de 1 de enero de 2018</t>
  </si>
  <si>
    <t>OFICINAS ADMINISTRATIVAS SUBDELEGACIONALES Y BODEGA DE BIENES EMBARGADOS</t>
  </si>
  <si>
    <t>Carretera Internacional Km. 6.5 Nº. 271 3a, Parque Industrial de Nogales, Nogales</t>
  </si>
  <si>
    <t>Avenida Aquiles Serdán Nº. 75, Locales 8, 9 , 11,1 3   y P.B., Colonia Centro, Guaymas</t>
  </si>
  <si>
    <t>Avenida José María Morelos y Pavón s/n. 902 esquina Calle Otero, Navojoa</t>
  </si>
  <si>
    <t>279106 279106</t>
  </si>
  <si>
    <t>900110 920201</t>
  </si>
  <si>
    <t>Calle Segunda y Avenida 19 Nº. 1899, Agua Prieta</t>
  </si>
  <si>
    <t>Calle 14 de Abril Nº. 287 y Alberto Gutierrez, Fraccionamiento Balderrama, Hermosillo</t>
  </si>
  <si>
    <t>Calle 5 de Febrero Nº. 805 esquina con Avenida Allende, Colonia Centro, Ciudad Obregón</t>
  </si>
  <si>
    <t>Carretera al Varadero Km. 2.5, Fraccionamiento Las Playitas, Guaymas</t>
  </si>
  <si>
    <t>Mariano Jiménez No. 746 entre Guelatao y 5 de Mayo, Navojoa</t>
  </si>
  <si>
    <t>Calle Talleres, Lote 17, Mz. Xi, Nº. 2147, Parque Industrial, Cajeme Ciudad Obregón</t>
  </si>
  <si>
    <t>ALMACEN DE GRUPOS DIVERSOS</t>
  </si>
  <si>
    <t>Calle Salamanca  entre Cedros y Cartonerano 101, Colonia Amapolas, Hermosillo</t>
  </si>
  <si>
    <t>Calle Jalisco No. 202 Norte, esquina con Allende, Colonia Centro, Ciudad Obregón.</t>
  </si>
  <si>
    <t>Avenida José María Morelos y Pavón s/n. 902 esquina Calle Otero, Navojoa.</t>
  </si>
  <si>
    <t>289001</t>
  </si>
  <si>
    <t>Calle Azaleas lote 10, Manzana 4, colonia Sabina, municipio Centro, Villahermosa, Tabasco</t>
  </si>
  <si>
    <t>Estación Ramirez</t>
  </si>
  <si>
    <t>Calle Mina S/N, Zona Centro, Estación Ramirez</t>
  </si>
  <si>
    <r>
      <t>UNIDAD DE MEDICINA FAMILIAR Nº. 12</t>
    </r>
    <r>
      <rPr>
        <sz val="14"/>
        <rFont val="Arial"/>
        <family val="2"/>
      </rPr>
      <t>*</t>
    </r>
  </si>
  <si>
    <t>Pagado al mes de junio</t>
  </si>
  <si>
    <t>Ciudad Guerrero</t>
  </si>
  <si>
    <t>Calle Hidalgo Nº. 1103, Zona Centro, Ciudad Guerrero</t>
  </si>
  <si>
    <r>
      <t>UNIDAD DE MEDICINA FAMILIAR Nº. 21</t>
    </r>
    <r>
      <rPr>
        <sz val="16"/>
        <rFont val="Arial"/>
        <family val="2"/>
      </rPr>
      <t>*</t>
    </r>
  </si>
  <si>
    <t>Ciudad Mier</t>
  </si>
  <si>
    <t>Calle Eulalio Gonzáles Nº. 1004, Ciudad Mier</t>
  </si>
  <si>
    <r>
      <t xml:space="preserve">UNIDAD DE MEDICINA FAMIILAR Nº. 22 </t>
    </r>
    <r>
      <rPr>
        <sz val="14"/>
        <rFont val="Arial"/>
        <family val="2"/>
      </rPr>
      <t>*</t>
    </r>
  </si>
  <si>
    <t>Villa de Aldama</t>
  </si>
  <si>
    <t>Calle Independencia Nº. 313 Zona Centro, Villa de Aldama</t>
  </si>
  <si>
    <r>
      <t>UNIDAD DE MEDICINA FAMILIAR Nº.  30</t>
    </r>
    <r>
      <rPr>
        <sz val="16"/>
        <rFont val="Arial"/>
        <family val="2"/>
      </rPr>
      <t>*</t>
    </r>
  </si>
  <si>
    <t>Pagado al mes de mayo</t>
  </si>
  <si>
    <t>Cuauhtémoc Ver</t>
  </si>
  <si>
    <t>Calle Pablo A. Gutiérrez S/N, Zona Centro, Cuauhtémoc Ver</t>
  </si>
  <si>
    <r>
      <t xml:space="preserve">UNIDAD DE MEDICINA FAMIILAR Nº. 37 </t>
    </r>
    <r>
      <rPr>
        <sz val="16"/>
        <rFont val="Arial"/>
        <family val="2"/>
      </rPr>
      <t>*</t>
    </r>
  </si>
  <si>
    <t>Reynosa</t>
  </si>
  <si>
    <t>Avenida Mil Cumbres Nº. 350, Planta Baja y Alta, Colonia Mil Cumbres, Reynosa</t>
  </si>
  <si>
    <r>
      <t>CONSULTORIOS MEDICOS</t>
    </r>
    <r>
      <rPr>
        <sz val="16"/>
        <rFont val="Arial"/>
        <family val="2"/>
      </rPr>
      <t>*</t>
    </r>
  </si>
  <si>
    <t>Ciudad Victoria</t>
  </si>
  <si>
    <t>Calles Brisa y Sol Nº. 901 Fraccionamiento Comercial 2000, Ciudad Victoria</t>
  </si>
  <si>
    <r>
      <t>OFICINAS ADMINISTRATIVAS</t>
    </r>
    <r>
      <rPr>
        <sz val="14"/>
        <rFont val="Arial"/>
        <family val="2"/>
      </rPr>
      <t>*</t>
    </r>
  </si>
  <si>
    <t>Matamoros</t>
  </si>
  <si>
    <t>Avenida Álvaro Obregón  Nº. 238 Planta Baja y Pisos 1º y 2º, Colonia Jardín, Matamoros</t>
  </si>
  <si>
    <t>Tampico</t>
  </si>
  <si>
    <t>Tercera Avenida esquina Avenida Cuauhtémoc N° 204, Colonia Americana, C.P. 89190, Tampico, Tamaulipas</t>
  </si>
  <si>
    <t>Calle Diaz Mirón Nº. 604, Zona Centro, Tampico</t>
  </si>
  <si>
    <t>Calle Santiago No. 3310, Fraccionamiento las Villas, Cd. Victoria</t>
  </si>
  <si>
    <t>Tercera Avenida esquina Avenida Cuauhtémoc N° 204, Colonia Americana, C.P. 89190, Tampico</t>
  </si>
  <si>
    <t>Tlaxcala</t>
  </si>
  <si>
    <t>Avenida Juárez No. 75-B San Esteban Tizatlán, Tlaxcala</t>
  </si>
  <si>
    <t>Calle 6 Nº. 1710, Colonia Xicoténcatl, Tlaxcala</t>
  </si>
  <si>
    <t>OFICINAS  ADMINISTRATIVAS DELEGACIONALES</t>
  </si>
  <si>
    <t>Banderilla</t>
  </si>
  <si>
    <t>Calle Libertad  Nº. 47, Colonia Centro, Banderilla</t>
  </si>
  <si>
    <t>UNIDAD DE MEDICINA FAMILIAR Nº. 19 (AMPLIACIÓN)</t>
  </si>
  <si>
    <t>Martínez de la Torre</t>
  </si>
  <si>
    <t>Avenida Melchor Ocampo esquina Aldama, Zona Centro, Martínez de la Torre</t>
  </si>
  <si>
    <t>Poza Rica</t>
  </si>
  <si>
    <t>Boulevard Adolfo Ruíz Cortínez esquina Sinaloa S/N, Colonia México, Poza Rica</t>
  </si>
  <si>
    <t>Xalapa</t>
  </si>
  <si>
    <t>Calle Sebastián Camacho Nº. 46, esquina Jose Maria Morelos, Colonia Centro, Xalapa</t>
  </si>
  <si>
    <t>Tuxpan</t>
  </si>
  <si>
    <t>Melchor Ocampo N°. 4-302 Colonia Centro, Tuxpan</t>
  </si>
  <si>
    <t>Calle Azueta No. 207, Colonia Centro, Xalapa</t>
  </si>
  <si>
    <t>TIENDA  54</t>
  </si>
  <si>
    <t>Calle Mariano Matamoros No. 626, Fraccionamiento so Pinos, C.P. 91870</t>
  </si>
  <si>
    <t>TIENDA 55</t>
  </si>
  <si>
    <t xml:space="preserve">Avenida José María La Fragua No. 2100 Fraccionamiento reforma </t>
  </si>
  <si>
    <t>Avenida Unión No. 21, Colonia Santa Lucia Dos, C.P. 91637, La Estanzuela, Emiliano Zapata, Veracruz, Veracruz Norte.</t>
  </si>
  <si>
    <t>SUB ALMACEN DELEGACIONAL</t>
  </si>
  <si>
    <t>Balderas Esquina Úrsulo Galván No. 45 Planta Baja, Colonia Centro, C.P. 91000, Xalapa, Ver</t>
  </si>
  <si>
    <t xml:space="preserve">Oficinas Administrativas EGAS </t>
  </si>
  <si>
    <t xml:space="preserve">Avenida Constitución No. 7, Colonia Progreso, C.P. 92709, Chicontepec,Ver </t>
  </si>
  <si>
    <t>Calle 16 de Septiembre No. 90 No., Colonia Centro, Jalacingo</t>
  </si>
  <si>
    <t xml:space="preserve">CONSULTORIO DE UNIDAD MEDICA </t>
  </si>
  <si>
    <t>Calle Ursulo Galván Nº. 49 (Antes 51), Colonia Centro, Xalapa</t>
  </si>
  <si>
    <t>ARCHIVO DE CATÁLOGOS Y OFICINAS ADMINISTRATIVAS</t>
  </si>
  <si>
    <t>819001</t>
  </si>
  <si>
    <t>819302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</si>
  <si>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</si>
  <si>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Agua Dulce</t>
  </si>
  <si>
    <t>Calle Ogarrio Nº. 315, Colonia Cuatro Caminos, Agua Dulce</t>
  </si>
  <si>
    <t>UNIDAD DE MEDICINA FAMILIAR Nº. 53</t>
  </si>
  <si>
    <t>Huatusco</t>
  </si>
  <si>
    <t xml:space="preserve">Avenida  1 Poniente ,  Colonia Acatepec, Huatusco
</t>
  </si>
  <si>
    <t>UNIDAD DE MEDICINA FAMILIAR Nº. 58</t>
  </si>
  <si>
    <t>Coatzacoalcos</t>
  </si>
  <si>
    <t>Avenida Independencia Nº.901, Colonia Libertad Congreso Allende, Coatzacoalcos</t>
  </si>
  <si>
    <t>UNIDAD DE MEDICINA FAMILIAR Nº. 65</t>
  </si>
  <si>
    <t>Córdoba</t>
  </si>
  <si>
    <t>Avenida 1 No. 2415, colonia Centro, Cordoba</t>
  </si>
  <si>
    <t>Orizaba</t>
  </si>
  <si>
    <t>Sur 33 No. 700, colonia Centro, Orizaba</t>
  </si>
  <si>
    <t>Tierra Blanca</t>
  </si>
  <si>
    <t>Calle Independencia No. 1409, Colonia Luis Echeverria, Tierra Blanca</t>
  </si>
  <si>
    <t>Cosamaloapan</t>
  </si>
  <si>
    <t>Avenida Reforma No. 606-A, Colonia Centro, C.P. 95400, Cosamaloapan, Veracruz Surn</t>
  </si>
  <si>
    <t>Pagado al mes de junio, sin reflejar el IVA</t>
  </si>
  <si>
    <t>Calle Poniente 32 No. 1507 entre Calle Norte 3 y 5, Colonia San Juan Bautista, C.P. 94310, Orizaba, Veracruz Sur</t>
  </si>
  <si>
    <t>Calle Sur 9 Nº. 670, entre Oriente 14 y 14 Colonia Centro, C.P. 94300, Orizaba, Veracruz Sur</t>
  </si>
  <si>
    <t>ARCHIVO DE CONCENTRACION</t>
  </si>
  <si>
    <t>Tlacotalpan</t>
  </si>
  <si>
    <t>Calle Marmol No. 210, colonia Rafael Fernández Alvarado, Orizaba</t>
  </si>
  <si>
    <t>Inmueble cancelado en Diciembre 2020.</t>
  </si>
  <si>
    <t>Fracción Dos Y Fracción Tres, Deducidas De Los Lotes De Terreno Números Seis Y Siete, De La Manzana Doscientos Trece, Zona Uno, De La Colonia Lázaro Cárdenas, De La Ciudad De Coatzacoalcos, Veracruz Y/O Transistmica F/L-7 M-213 N° 1143</t>
  </si>
  <si>
    <t>Avenida  1 Poniente ,  Colonia Acatepec, Huatusco</t>
  </si>
  <si>
    <t>Calle Sur 33 No. 700, colonia Centro, Orizaba</t>
  </si>
  <si>
    <t>Avenida Reforma No. 606-A, Colonia Centro, Cosamaloapan</t>
  </si>
  <si>
    <t>Calle Poniente 32 No. 1507 entre Calle Norte 3 y 5, Colonia San Juan Bautista, C.P. 94310, Orizaba</t>
  </si>
  <si>
    <t>Registra pagos al mes de mayo, no registra el pago de IVA.</t>
  </si>
  <si>
    <r>
      <t>Fracción 2 y Fracción 3, Deducidas de los Lotes de Terreno N</t>
    </r>
    <r>
      <rPr>
        <vertAlign val="superscript"/>
        <sz val="11"/>
        <rFont val="Arial"/>
        <family val="2"/>
      </rPr>
      <t xml:space="preserve">os </t>
    </r>
    <r>
      <rPr>
        <sz val="11"/>
        <rFont val="Arial"/>
        <family val="2"/>
      </rPr>
      <t>6is y 7, De La Manzana 213, Zona 1,colonia Lázaro Cárdenas, Coatzacoalcos, Veracruz y/oTransistmica F/L-7 M-213 N° 1143</t>
    </r>
  </si>
  <si>
    <t>Registra pagos al mes de junio, IMSS-BIENESTAR.</t>
  </si>
  <si>
    <t>Zacatecas</t>
  </si>
  <si>
    <t>Calle Chepinque No. 108-A Colonia Lomas de la Soledad, Zacatecas</t>
  </si>
  <si>
    <t>CENTRO  DE CAPACITACION</t>
  </si>
  <si>
    <t>Fresnillo</t>
  </si>
  <si>
    <t>Avenida Hidalgo No. 359, Zona Centro, Fresnillo</t>
  </si>
  <si>
    <t>Rio Grande</t>
  </si>
  <si>
    <t>Calle Hidalgo N°. 31, Zona Centro, Rio Grande</t>
  </si>
  <si>
    <t>Sombrerete</t>
  </si>
  <si>
    <t>Calle J. Jesús González Ortega S/N Barrio de la Pila , Sombrerete, Zacatecas</t>
  </si>
  <si>
    <t>Calle Constitución N°. 102, Colonia Lomas de la Soledad, Zacatecas</t>
  </si>
  <si>
    <t>Carretera Panamericana Km. 117+500 S/N Fraccionamiento San Isidro, Guadalupe</t>
  </si>
  <si>
    <t>ALMACÉN DE BIENES EN DACIÓN DE PAGO</t>
  </si>
  <si>
    <t xml:space="preserve">Calle San Ramón lote 001, Guadalupe, Zacatecas </t>
  </si>
  <si>
    <t xml:space="preserve">Calle Montes Apalaches No. 26, Fraccionamiento la Cima, Guadalupe, Zacatecas. </t>
  </si>
  <si>
    <t>Calle Juan Aldama No. 201 Esq. Calle Hidalgo, En La Ciudad De Calera, Zacatecas</t>
  </si>
  <si>
    <t>Mesa Del Cerrillo, Conocido Como Cerro De La Virgen, Zacatecas, Zacatecas</t>
  </si>
  <si>
    <t>Antena</t>
  </si>
  <si>
    <t xml:space="preserve">MEXICO, D.F. </t>
  </si>
  <si>
    <t>Calle Carretones Nº. 10 y San Pablo Nº. 31, Colonia Merced, C.P. 06090, México, D.F. Norte</t>
  </si>
  <si>
    <t>Distrito Federal Sur</t>
  </si>
  <si>
    <t>Calzada de la Viga No. 1174, colonia le Triunfo, Iztapalapa</t>
  </si>
  <si>
    <t>Calle Yucatàn No 15, Colonia Hipódromo Condesa, Cuauhtémoc , México, D.F. Sur</t>
  </si>
  <si>
    <t xml:space="preserve">OFICINAS ADMINISTRATIVAS SUBDELEGACIONALES Y DELEGACIONALES </t>
  </si>
  <si>
    <t>Calle Clavel Norte No. 6, Colonia San Pedro Mártir, Tlalpan, D.F. Sur</t>
  </si>
  <si>
    <t>Registra pagos al mes de julio, la variación obedece al Incremento autorizado.</t>
  </si>
  <si>
    <t>BAJA CALIFORNIA</t>
  </si>
  <si>
    <t>Calle 22 s/n, Lote 008, Manzana 13, Colonia Desarrollo Aeropuerto, San José del Cabo</t>
  </si>
  <si>
    <t>Mes:</t>
  </si>
  <si>
    <t>MES</t>
  </si>
  <si>
    <t>ID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</si>
  <si>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</si>
  <si>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</si>
  <si>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</si>
  <si>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</si>
  <si>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</si>
  <si>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</si>
  <si>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</si>
  <si>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</si>
  <si>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</si>
  <si>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</si>
  <si>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</si>
  <si>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</si>
  <si>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ID2</t>
  </si>
  <si>
    <t>BUSCARV('DF SUR_Calendario'!I9,AVANCE060826!Q8:R19,2,FALSO)</t>
  </si>
  <si>
    <t>SI(AVANCE060826!$R$2=O$9,0,SI(((BUSCARV('DF SUR_Calendario'!O$9,AVANCE060826!$Q$8:$R$19,2,FALSO))&lt;AVANCE060826!$S$2),$H12,0))</t>
  </si>
  <si>
    <t>Total Calendarizado</t>
  </si>
  <si>
    <r>
      <rPr>
        <sz val="11"/>
        <color rgb="FF92D050"/>
        <rFont val="Arial"/>
        <family val="2"/>
      </rPr>
      <t xml:space="preserve">900110 </t>
    </r>
    <r>
      <rPr>
        <sz val="11"/>
        <rFont val="Arial"/>
        <family val="2"/>
      </rPr>
      <t xml:space="preserve">
380200
900110
150100</t>
    </r>
  </si>
  <si>
    <r>
      <rPr>
        <sz val="11"/>
        <color rgb="FF92D050"/>
        <rFont val="Arial"/>
        <family val="2"/>
      </rPr>
      <t>269102</t>
    </r>
    <r>
      <rPr>
        <sz val="11"/>
        <rFont val="Arial"/>
        <family val="2"/>
      </rPr>
      <t xml:space="preserve"> 
269102
269102
268104</t>
    </r>
  </si>
  <si>
    <t xml:space="preserve">Total 14D000/99001  </t>
  </si>
  <si>
    <t>Total 70000/09P901</t>
  </si>
  <si>
    <t>Total arrendamientos</t>
  </si>
  <si>
    <t>Provisionamiento</t>
  </si>
  <si>
    <t>Provisionamientos</t>
  </si>
  <si>
    <t>Suma 14D000/99001  + 70000/09P901</t>
  </si>
  <si>
    <t>Sub Total</t>
  </si>
  <si>
    <t>Arrendamiento fuera del Programa (Campeche)</t>
  </si>
  <si>
    <t>Arrendamiento fuera del progrograma</t>
  </si>
  <si>
    <t>IMPORTE
3=(1-2)</t>
  </si>
  <si>
    <t>Realizo pagos al mes de julio.</t>
  </si>
  <si>
    <t>Registra pagos al mes de junio, no refleja el pago de IVA.</t>
  </si>
  <si>
    <t>Registra pago al mes de julio.</t>
  </si>
  <si>
    <t>No refleja pagos en el periodo</t>
  </si>
  <si>
    <t>Registra el pago al mes de julio.</t>
  </si>
  <si>
    <t>No refleja pagos al periodo</t>
  </si>
  <si>
    <t>Registro de pagos al mes de agosto.</t>
  </si>
  <si>
    <t>Ha registrado pagos al mes de agosto.</t>
  </si>
  <si>
    <t>IMSS-BIENESTAR registra pagos al mes de julio.</t>
  </si>
  <si>
    <t>IMSS-BIENESTAR registra pagos del mes de julio.</t>
  </si>
  <si>
    <t>Registra pagos al mes de agosto</t>
  </si>
  <si>
    <t>Registro de pago al mes de agosto</t>
  </si>
  <si>
    <t>Registra pago al mes de agosto</t>
  </si>
  <si>
    <t>Registro de pagos al mes de agosto</t>
  </si>
  <si>
    <t>Pagos de Oficinas al mes de agosto IMSS-BIENESTAR</t>
  </si>
  <si>
    <t>Registra pagos al periodo mes de agosto</t>
  </si>
  <si>
    <t>Registra pagos al mes de abril</t>
  </si>
  <si>
    <t>Registra el pago al mes de agosto</t>
  </si>
  <si>
    <t>Registro de pagos realizados al mes de agosto.</t>
  </si>
  <si>
    <t>Registra pagos al mes de julio, no registra el pago de IVA de 4 meses.</t>
  </si>
  <si>
    <t>Registra pagos al mes de junio, no registra el pago de IVA</t>
  </si>
  <si>
    <t xml:space="preserve">Registra pagos al mes de agosto </t>
  </si>
  <si>
    <t>Registra pagos al mes de agosto, la variación obedece al Incremento autorizado.</t>
  </si>
  <si>
    <t>Realizo pagos al mes de agosto.</t>
  </si>
  <si>
    <t>Registra el pago al mes de agosto.</t>
  </si>
  <si>
    <t>Pagos al mes de agosto.
Registra pagos por un importe de $215,399.99 adicionales a lo programado, se desconoce su origen.</t>
  </si>
  <si>
    <t xml:space="preserve">Pago registrados al mes de agosto. </t>
  </si>
  <si>
    <t>Registra pagos al mes de abril IMSS-BIENESTAR</t>
  </si>
  <si>
    <t>Registra pagos al mes de mayo.</t>
  </si>
  <si>
    <t>Registra pagos al mes de septiembre.</t>
  </si>
  <si>
    <t>Registra pagos al mes de septiembre</t>
  </si>
  <si>
    <t>Registro de pagos al mes de septiembre.</t>
  </si>
  <si>
    <t>No registra pagos al periodo enero-septiembre.</t>
  </si>
  <si>
    <t>Fecha Ejec: 07/10/2026</t>
  </si>
  <si>
    <t>Hora: 12:34:01</t>
  </si>
  <si>
    <t>Registra pagos al mes de julio, no registra el pago de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</si>
</sst>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#,##0_ ;\-#,##0\ "/>
    <numFmt numFmtId="166" formatCode="_-[$€-2]* #,##0.00_-;\-[$€-2]* #,##0.00_-;_-[$€-2]* &quot;-&quot;??_-"/>
    <numFmt numFmtId="167" formatCode="_-* #,##0.00\ _p_t_a_-;\-* #,##0.00\ _p_t_a_-;_-* &quot;-&quot;??\ _p_t_a_-;_-@_-"/>
    <numFmt numFmtId="168" formatCode="_ * #,##0.00_ ;_ * \-#,##0.00_ ;_ * &quot;-&quot;??_ ;_ @_ "/>
    <numFmt numFmtId="169" formatCode="[$-80A]dddd\,\ dd&quot; de &quot;mmmm&quot; de &quot;yyyy;@"/>
    <numFmt numFmtId="170" formatCode="_-* #,##0_-;\-* #,##0_-;_-* &quot;-&quot;??_-;_-@_-"/>
    <numFmt numFmtId="171" formatCode="00"/>
    <numFmt numFmtId="172" formatCode="d&quot; de &quot;mmm&quot; de &quot;yy"/>
    <numFmt numFmtId="173" formatCode="#,##0.0_ ;\-#,##0.0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indexed="8"/>
      <name val="Calibri"/>
      <family val="2"/>
    </font>
    <font>
      <sz val="10"/>
      <name val="Trebuchet MS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name val="Arial Black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6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name val="Montserrat"/>
    </font>
    <font>
      <sz val="14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1"/>
      <color indexed="8"/>
      <name val="Arial"/>
      <family val="2"/>
    </font>
    <font>
      <sz val="16"/>
      <color indexed="8"/>
      <name val="Arial"/>
      <family val="2"/>
    </font>
    <font>
      <sz val="11"/>
      <color rgb="FFFF0000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Montserrat"/>
    </font>
    <font>
      <b/>
      <sz val="14"/>
      <name val="Arial"/>
      <family val="2"/>
    </font>
    <font>
      <sz val="11"/>
      <name val="Arial Narrow"/>
      <family val="2"/>
    </font>
    <font>
      <vertAlign val="superscript"/>
      <sz val="11"/>
      <name val="Arial"/>
      <family val="2"/>
    </font>
    <font>
      <sz val="8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FF0000"/>
      <name val="Montserrat"/>
    </font>
    <font>
      <sz val="11"/>
      <color rgb="FF92D05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13" fillId="0" borderId="0"/>
    <xf numFmtId="167" fontId="14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 applyFont="0" applyFill="0" applyBorder="0" applyAlignment="0" applyProtection="0"/>
    <xf numFmtId="0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/>
    <xf numFmtId="0" fontId="26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</cellStyleXfs>
  <cellXfs count="1040">
    <xf numFmtId="0" fontId="0" fillId="0" borderId="0" xfId="0"/>
    <xf numFmtId="0" fontId="3" fillId="0" borderId="0" xfId="0" applyFont="1"/>
    <xf numFmtId="43" fontId="0" fillId="0" borderId="0" xfId="1" applyFont="1" applyFill="1"/>
    <xf numFmtId="164" fontId="0" fillId="0" borderId="0" xfId="0" applyNumberFormat="1"/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3" fontId="0" fillId="0" borderId="0" xfId="0" applyNumberFormat="1"/>
    <xf numFmtId="0" fontId="10" fillId="0" borderId="0" xfId="0" applyFont="1"/>
    <xf numFmtId="0" fontId="2" fillId="0" borderId="0" xfId="0" applyFont="1" applyAlignment="1">
      <alignment horizontal="right" wrapText="1"/>
    </xf>
    <xf numFmtId="0" fontId="9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3" fontId="12" fillId="0" borderId="0" xfId="1" applyFont="1" applyAlignment="1">
      <alignment horizontal="left"/>
    </xf>
    <xf numFmtId="0" fontId="9" fillId="0" borderId="6" xfId="2" applyFont="1" applyFill="1" applyBorder="1" applyAlignment="1">
      <alignment vertical="center" wrapText="1"/>
    </xf>
    <xf numFmtId="0" fontId="9" fillId="0" borderId="8" xfId="2" applyFont="1" applyFill="1" applyBorder="1" applyAlignment="1">
      <alignment vertical="center" wrapText="1"/>
    </xf>
    <xf numFmtId="0" fontId="3" fillId="0" borderId="9" xfId="2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5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3" xfId="1" quotePrefix="1" applyNumberFormat="1" applyFont="1" applyFill="1" applyBorder="1" applyAlignment="1">
      <alignment vertical="center" wrapText="1"/>
    </xf>
    <xf numFmtId="164" fontId="7" fillId="0" borderId="11" xfId="2" applyNumberFormat="1" applyFont="1" applyFill="1" applyBorder="1" applyAlignment="1">
      <alignment horizontal="right" vertical="center" wrapText="1"/>
    </xf>
    <xf numFmtId="4" fontId="7" fillId="0" borderId="11" xfId="2" applyNumberFormat="1" applyFont="1" applyFill="1" applyBorder="1" applyAlignment="1">
      <alignment horizontal="right" vertical="center" wrapText="1"/>
    </xf>
    <xf numFmtId="43" fontId="7" fillId="0" borderId="11" xfId="1" applyFont="1" applyFill="1" applyBorder="1" applyAlignment="1">
      <alignment horizontal="right" vertical="center" wrapText="1"/>
    </xf>
    <xf numFmtId="43" fontId="5" fillId="0" borderId="6" xfId="1" applyFont="1" applyFill="1" applyBorder="1" applyAlignment="1">
      <alignment vertical="center" wrapText="1"/>
    </xf>
    <xf numFmtId="43" fontId="4" fillId="0" borderId="19" xfId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quotePrefix="1" applyFont="1" applyBorder="1" applyAlignment="1">
      <alignment vertical="center" wrapText="1"/>
    </xf>
    <xf numFmtId="0" fontId="5" fillId="2" borderId="6" xfId="0" quotePrefix="1" applyFont="1" applyFill="1" applyBorder="1" applyAlignment="1">
      <alignment vertical="center" wrapText="1"/>
    </xf>
    <xf numFmtId="0" fontId="5" fillId="2" borderId="8" xfId="0" quotePrefix="1" applyFont="1" applyFill="1" applyBorder="1" applyAlignment="1">
      <alignment vertical="center" wrapText="1"/>
    </xf>
    <xf numFmtId="0" fontId="5" fillId="2" borderId="9" xfId="0" quotePrefix="1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2" borderId="24" xfId="0" quotePrefix="1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164" fontId="7" fillId="0" borderId="16" xfId="2" applyNumberFormat="1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horizontal="right" vertical="center" wrapText="1"/>
    </xf>
    <xf numFmtId="164" fontId="7" fillId="0" borderId="25" xfId="2" applyNumberFormat="1" applyFont="1" applyFill="1" applyBorder="1" applyAlignment="1">
      <alignment horizontal="right" vertical="center" wrapText="1"/>
    </xf>
    <xf numFmtId="164" fontId="7" fillId="0" borderId="18" xfId="2" applyNumberFormat="1" applyFont="1" applyFill="1" applyBorder="1" applyAlignment="1">
      <alignment horizontal="right" vertical="center" wrapText="1"/>
    </xf>
    <xf numFmtId="43" fontId="4" fillId="0" borderId="16" xfId="1" applyFont="1" applyBorder="1" applyAlignment="1">
      <alignment vertical="center"/>
    </xf>
    <xf numFmtId="164" fontId="7" fillId="0" borderId="8" xfId="2" applyNumberFormat="1" applyFont="1" applyFill="1" applyBorder="1" applyAlignment="1">
      <alignment horizontal="right" vertical="center" wrapText="1"/>
    </xf>
    <xf numFmtId="164" fontId="7" fillId="0" borderId="17" xfId="2" applyNumberFormat="1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center" vertical="center"/>
    </xf>
    <xf numFmtId="164" fontId="15" fillId="0" borderId="16" xfId="2" applyNumberFormat="1" applyFont="1" applyFill="1" applyBorder="1" applyAlignment="1">
      <alignment horizontal="right" vertical="center" wrapText="1"/>
    </xf>
    <xf numFmtId="164" fontId="15" fillId="0" borderId="36" xfId="2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43" fontId="4" fillId="0" borderId="34" xfId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vertical="center" wrapText="1"/>
    </xf>
    <xf numFmtId="0" fontId="5" fillId="2" borderId="5" xfId="0" quotePrefix="1" applyFont="1" applyFill="1" applyBorder="1" applyAlignment="1">
      <alignment vertical="center" wrapText="1"/>
    </xf>
    <xf numFmtId="43" fontId="4" fillId="0" borderId="30" xfId="1" applyFont="1" applyBorder="1" applyAlignment="1">
      <alignment horizontal="right" vertical="center"/>
    </xf>
    <xf numFmtId="164" fontId="16" fillId="0" borderId="40" xfId="1" quotePrefix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5" fillId="0" borderId="6" xfId="1" applyFont="1" applyFill="1" applyBorder="1" applyAlignment="1">
      <alignment horizontal="center" vertical="center" wrapText="1"/>
    </xf>
    <xf numFmtId="164" fontId="7" fillId="0" borderId="30" xfId="2" applyNumberFormat="1" applyFont="1" applyFill="1" applyBorder="1" applyAlignment="1">
      <alignment horizontal="right" vertical="center" wrapText="1"/>
    </xf>
    <xf numFmtId="43" fontId="5" fillId="0" borderId="1" xfId="1" applyFont="1" applyFill="1" applyBorder="1" applyAlignment="1">
      <alignment horizontal="center" vertical="center" wrapText="1"/>
    </xf>
    <xf numFmtId="43" fontId="5" fillId="0" borderId="9" xfId="1" applyFont="1" applyFill="1" applyBorder="1" applyAlignment="1">
      <alignment horizontal="center" vertical="center" wrapText="1"/>
    </xf>
    <xf numFmtId="43" fontId="5" fillId="0" borderId="33" xfId="1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43" fontId="5" fillId="0" borderId="18" xfId="1" applyFont="1" applyFill="1" applyBorder="1" applyAlignment="1">
      <alignment horizontal="center" vertical="center" wrapText="1"/>
    </xf>
    <xf numFmtId="43" fontId="5" fillId="0" borderId="11" xfId="1" applyFont="1" applyFill="1" applyBorder="1" applyAlignment="1">
      <alignment horizontal="center" vertical="center" wrapText="1"/>
    </xf>
    <xf numFmtId="43" fontId="5" fillId="0" borderId="16" xfId="1" applyFont="1" applyFill="1" applyBorder="1" applyAlignment="1">
      <alignment horizontal="center" vertical="center" wrapText="1"/>
    </xf>
    <xf numFmtId="164" fontId="5" fillId="0" borderId="16" xfId="1" quotePrefix="1" applyNumberFormat="1" applyFont="1" applyFill="1" applyBorder="1" applyAlignment="1">
      <alignment vertical="center" wrapText="1"/>
    </xf>
    <xf numFmtId="0" fontId="9" fillId="0" borderId="24" xfId="2" applyFont="1" applyFill="1" applyBorder="1" applyAlignment="1">
      <alignment vertical="center" wrapText="1"/>
    </xf>
    <xf numFmtId="0" fontId="3" fillId="0" borderId="25" xfId="2" applyFont="1" applyFill="1" applyBorder="1" applyAlignment="1">
      <alignment vertical="center" wrapText="1"/>
    </xf>
    <xf numFmtId="164" fontId="7" fillId="0" borderId="28" xfId="2" applyNumberFormat="1" applyFont="1" applyFill="1" applyBorder="1" applyAlignment="1">
      <alignment horizontal="right" vertical="center" wrapText="1"/>
    </xf>
    <xf numFmtId="164" fontId="7" fillId="0" borderId="36" xfId="2" applyNumberFormat="1" applyFont="1" applyFill="1" applyBorder="1" applyAlignment="1">
      <alignment horizontal="right" vertical="center" wrapText="1"/>
    </xf>
    <xf numFmtId="43" fontId="5" fillId="0" borderId="44" xfId="1" applyFont="1" applyFill="1" applyBorder="1" applyAlignment="1">
      <alignment horizontal="center" vertical="center" wrapText="1"/>
    </xf>
    <xf numFmtId="43" fontId="5" fillId="0" borderId="43" xfId="1" applyFont="1" applyFill="1" applyBorder="1" applyAlignment="1">
      <alignment horizontal="center" vertical="center" wrapText="1"/>
    </xf>
    <xf numFmtId="43" fontId="5" fillId="0" borderId="36" xfId="1" applyFont="1" applyFill="1" applyBorder="1" applyAlignment="1">
      <alignment horizontal="center" vertical="center" wrapText="1"/>
    </xf>
    <xf numFmtId="43" fontId="4" fillId="0" borderId="45" xfId="1" applyFont="1" applyBorder="1" applyAlignment="1">
      <alignment vertical="center"/>
    </xf>
    <xf numFmtId="43" fontId="4" fillId="0" borderId="46" xfId="1" applyFont="1" applyBorder="1" applyAlignment="1">
      <alignment vertical="center"/>
    </xf>
    <xf numFmtId="43" fontId="4" fillId="0" borderId="47" xfId="1" applyFont="1" applyFill="1" applyBorder="1" applyAlignment="1">
      <alignment horizontal="center" vertical="center" wrapText="1"/>
    </xf>
    <xf numFmtId="43" fontId="4" fillId="0" borderId="48" xfId="1" applyFont="1" applyFill="1" applyBorder="1" applyAlignment="1">
      <alignment horizontal="center" vertical="center" wrapText="1"/>
    </xf>
    <xf numFmtId="43" fontId="4" fillId="0" borderId="46" xfId="1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vertical="center" wrapText="1"/>
    </xf>
    <xf numFmtId="0" fontId="0" fillId="0" borderId="0" xfId="0" applyAlignment="1">
      <alignment horizontal="right" wrapText="1"/>
    </xf>
    <xf numFmtId="169" fontId="2" fillId="0" borderId="0" xfId="0" applyNumberFormat="1" applyFont="1" applyAlignment="1">
      <alignment horizontal="center" vertical="center"/>
    </xf>
    <xf numFmtId="0" fontId="4" fillId="3" borderId="5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 wrapText="1"/>
    </xf>
    <xf numFmtId="43" fontId="4" fillId="0" borderId="53" xfId="0" applyNumberFormat="1" applyFont="1" applyBorder="1" applyAlignment="1">
      <alignment horizontal="center" vertical="center" wrapText="1"/>
    </xf>
    <xf numFmtId="43" fontId="4" fillId="0" borderId="7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justify" vertical="center" wrapText="1"/>
    </xf>
    <xf numFmtId="43" fontId="4" fillId="0" borderId="32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1" fontId="6" fillId="0" borderId="52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6" fillId="0" borderId="55" xfId="0" applyFont="1" applyBorder="1" applyAlignment="1">
      <alignment horizontal="center" vertical="center" wrapText="1"/>
    </xf>
    <xf numFmtId="43" fontId="4" fillId="0" borderId="56" xfId="0" applyNumberFormat="1" applyFont="1" applyBorder="1" applyAlignment="1">
      <alignment horizontal="center" vertical="center" wrapText="1"/>
    </xf>
    <xf numFmtId="43" fontId="4" fillId="0" borderId="57" xfId="0" applyNumberFormat="1" applyFont="1" applyBorder="1" applyAlignment="1">
      <alignment horizontal="center" vertical="center" wrapText="1"/>
    </xf>
    <xf numFmtId="43" fontId="5" fillId="0" borderId="58" xfId="1" applyFont="1" applyFill="1" applyBorder="1" applyAlignment="1">
      <alignment horizontal="center" vertical="center" wrapText="1"/>
    </xf>
    <xf numFmtId="43" fontId="5" fillId="0" borderId="42" xfId="1" applyFont="1" applyFill="1" applyBorder="1" applyAlignment="1">
      <alignment horizontal="center" vertical="center" wrapText="1"/>
    </xf>
    <xf numFmtId="43" fontId="5" fillId="0" borderId="28" xfId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170" fontId="16" fillId="0" borderId="45" xfId="1" applyNumberFormat="1" applyFont="1" applyBorder="1" applyAlignment="1">
      <alignment horizontal="center"/>
    </xf>
    <xf numFmtId="43" fontId="16" fillId="0" borderId="45" xfId="1" applyFont="1" applyBorder="1" applyAlignment="1"/>
    <xf numFmtId="43" fontId="16" fillId="0" borderId="59" xfId="1" applyFont="1" applyFill="1" applyBorder="1" applyAlignment="1"/>
    <xf numFmtId="43" fontId="16" fillId="0" borderId="48" xfId="1" applyFont="1" applyBorder="1" applyAlignment="1"/>
    <xf numFmtId="43" fontId="16" fillId="0" borderId="60" xfId="1" applyFont="1" applyFill="1" applyBorder="1" applyAlignment="1">
      <alignment horizontal="center" wrapText="1"/>
    </xf>
    <xf numFmtId="43" fontId="16" fillId="0" borderId="46" xfId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43" fontId="5" fillId="0" borderId="0" xfId="1" applyFont="1" applyFill="1" applyBorder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horizontal="right"/>
    </xf>
    <xf numFmtId="43" fontId="5" fillId="0" borderId="0" xfId="1" applyFont="1" applyFill="1" applyAlignment="1">
      <alignment horizontal="right"/>
    </xf>
    <xf numFmtId="0" fontId="5" fillId="2" borderId="25" xfId="0" quotePrefix="1" applyFont="1" applyFill="1" applyBorder="1" applyAlignment="1">
      <alignment vertical="center" wrapText="1"/>
    </xf>
    <xf numFmtId="43" fontId="5" fillId="0" borderId="27" xfId="1" applyFont="1" applyFill="1" applyBorder="1" applyAlignment="1">
      <alignment horizontal="center" vertical="center" wrapText="1"/>
    </xf>
    <xf numFmtId="43" fontId="5" fillId="0" borderId="32" xfId="1" applyFont="1" applyFill="1" applyBorder="1" applyAlignment="1">
      <alignment horizontal="center" vertical="center" wrapText="1"/>
    </xf>
    <xf numFmtId="43" fontId="5" fillId="0" borderId="23" xfId="1" applyFont="1" applyFill="1" applyBorder="1" applyAlignment="1">
      <alignment horizontal="center" vertical="center" wrapText="1"/>
    </xf>
    <xf numFmtId="43" fontId="5" fillId="0" borderId="24" xfId="1" applyFont="1" applyFill="1" applyBorder="1" applyAlignment="1">
      <alignment horizontal="center" vertical="center" wrapText="1"/>
    </xf>
    <xf numFmtId="43" fontId="5" fillId="0" borderId="39" xfId="1" applyFont="1" applyFill="1" applyBorder="1" applyAlignment="1">
      <alignment horizontal="center" vertical="center" wrapText="1"/>
    </xf>
    <xf numFmtId="43" fontId="5" fillId="0" borderId="8" xfId="1" applyFont="1" applyFill="1" applyBorder="1" applyAlignment="1">
      <alignment horizontal="center" vertical="center" wrapText="1"/>
    </xf>
    <xf numFmtId="43" fontId="5" fillId="0" borderId="7" xfId="1" applyFont="1" applyFill="1" applyBorder="1" applyAlignment="1">
      <alignment horizontal="center" vertical="center" wrapText="1"/>
    </xf>
    <xf numFmtId="43" fontId="7" fillId="0" borderId="30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5" xfId="0" quotePrefix="1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4" fillId="0" borderId="56" xfId="0" applyFont="1" applyBorder="1" applyAlignment="1">
      <alignment horizontal="center" vertical="center"/>
    </xf>
    <xf numFmtId="0" fontId="15" fillId="0" borderId="2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7" xfId="1" applyFont="1" applyFill="1" applyBorder="1" applyAlignment="1">
      <alignment horizontal="center" vertical="center" wrapText="1"/>
    </xf>
    <xf numFmtId="0" fontId="5" fillId="2" borderId="25" xfId="0" quotePrefix="1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15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43" fontId="4" fillId="0" borderId="8" xfId="1" applyFont="1" applyFill="1" applyBorder="1" applyAlignment="1">
      <alignment horizontal="center" vertical="center" wrapText="1"/>
    </xf>
    <xf numFmtId="43" fontId="4" fillId="0" borderId="33" xfId="1" applyFont="1" applyFill="1" applyBorder="1" applyAlignment="1">
      <alignment horizontal="center" vertical="center" wrapText="1"/>
    </xf>
    <xf numFmtId="164" fontId="5" fillId="0" borderId="36" xfId="1" quotePrefix="1" applyNumberFormat="1" applyFont="1" applyFill="1" applyBorder="1" applyAlignment="1">
      <alignment vertical="center" wrapText="1"/>
    </xf>
    <xf numFmtId="43" fontId="4" fillId="0" borderId="63" xfId="1" applyFont="1" applyFill="1" applyBorder="1" applyAlignment="1">
      <alignment horizontal="center" vertical="center" wrapText="1"/>
    </xf>
    <xf numFmtId="43" fontId="4" fillId="0" borderId="30" xfId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15" fillId="0" borderId="64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15" fillId="0" borderId="25" xfId="0" quotePrefix="1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43" fontId="7" fillId="0" borderId="25" xfId="1" applyFont="1" applyFill="1" applyBorder="1" applyAlignment="1">
      <alignment horizontal="center" vertical="center" wrapText="1"/>
    </xf>
    <xf numFmtId="43" fontId="7" fillId="0" borderId="23" xfId="1" applyFont="1" applyFill="1" applyBorder="1" applyAlignment="1">
      <alignment horizontal="center" vertical="center" wrapText="1"/>
    </xf>
    <xf numFmtId="0" fontId="15" fillId="4" borderId="25" xfId="0" quotePrefix="1" applyFont="1" applyFill="1" applyBorder="1" applyAlignment="1">
      <alignment vertical="center"/>
    </xf>
    <xf numFmtId="0" fontId="15" fillId="4" borderId="25" xfId="0" applyFont="1" applyFill="1" applyBorder="1" applyAlignment="1">
      <alignment vertical="center"/>
    </xf>
    <xf numFmtId="0" fontId="5" fillId="4" borderId="1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15" fillId="4" borderId="58" xfId="0" quotePrefix="1" applyFont="1" applyFill="1" applyBorder="1" applyAlignment="1">
      <alignment vertical="center"/>
    </xf>
    <xf numFmtId="0" fontId="15" fillId="4" borderId="4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58" xfId="0" quotePrefix="1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/>
    <xf numFmtId="0" fontId="5" fillId="0" borderId="25" xfId="0" applyFont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15" fillId="2" borderId="64" xfId="0" quotePrefix="1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15" fillId="0" borderId="9" xfId="0" applyFont="1" applyBorder="1" applyAlignment="1">
      <alignment vertical="center" wrapText="1"/>
    </xf>
    <xf numFmtId="43" fontId="4" fillId="0" borderId="43" xfId="1" applyFont="1" applyFill="1" applyBorder="1" applyAlignment="1">
      <alignment horizontal="center" vertical="center"/>
    </xf>
    <xf numFmtId="43" fontId="4" fillId="0" borderId="36" xfId="1" applyFont="1" applyFill="1" applyBorder="1" applyAlignment="1">
      <alignment horizontal="center" vertical="center"/>
    </xf>
    <xf numFmtId="43" fontId="5" fillId="0" borderId="43" xfId="1" applyFont="1" applyFill="1" applyBorder="1" applyAlignment="1">
      <alignment horizontal="center" vertical="center"/>
    </xf>
    <xf numFmtId="43" fontId="4" fillId="0" borderId="33" xfId="1" quotePrefix="1" applyFont="1" applyFill="1" applyBorder="1" applyAlignment="1">
      <alignment horizontal="justify" vertical="center" wrapText="1"/>
    </xf>
    <xf numFmtId="43" fontId="0" fillId="0" borderId="0" xfId="1" applyFont="1"/>
    <xf numFmtId="43" fontId="4" fillId="0" borderId="1" xfId="1" applyFont="1" applyFill="1" applyBorder="1" applyAlignment="1">
      <alignment vertical="center" wrapText="1"/>
    </xf>
    <xf numFmtId="0" fontId="5" fillId="0" borderId="1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2" borderId="65" xfId="1" applyNumberFormat="1" applyFont="1" applyFill="1" applyBorder="1" applyAlignment="1">
      <alignment horizontal="center" vertical="center" wrapText="1"/>
    </xf>
    <xf numFmtId="43" fontId="4" fillId="0" borderId="11" xfId="1" applyFont="1" applyBorder="1" applyAlignment="1">
      <alignment vertical="center"/>
    </xf>
    <xf numFmtId="43" fontId="5" fillId="0" borderId="0" xfId="1" applyFont="1" applyFill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43" fontId="5" fillId="0" borderId="7" xfId="1" applyFont="1" applyFill="1" applyBorder="1" applyAlignment="1">
      <alignment vertical="center" wrapText="1"/>
    </xf>
    <xf numFmtId="43" fontId="4" fillId="0" borderId="11" xfId="1" applyFont="1" applyFill="1" applyBorder="1" applyAlignment="1">
      <alignment horizontal="center" vertical="center" wrapText="1"/>
    </xf>
    <xf numFmtId="43" fontId="4" fillId="0" borderId="16" xfId="1" applyFont="1" applyFill="1" applyBorder="1" applyAlignment="1">
      <alignment horizontal="center" vertical="center" wrapText="1"/>
    </xf>
    <xf numFmtId="0" fontId="4" fillId="0" borderId="16" xfId="1" applyNumberFormat="1" applyFont="1" applyFill="1" applyBorder="1" applyAlignment="1">
      <alignment horizontal="left" vertical="center" wrapText="1"/>
    </xf>
    <xf numFmtId="43" fontId="5" fillId="0" borderId="7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43" fontId="5" fillId="0" borderId="33" xfId="1" applyFont="1" applyBorder="1" applyAlignment="1">
      <alignment vertical="center"/>
    </xf>
    <xf numFmtId="43" fontId="4" fillId="0" borderId="43" xfId="1" applyFont="1" applyFill="1" applyBorder="1" applyAlignment="1">
      <alignment horizontal="center" vertical="center" wrapText="1"/>
    </xf>
    <xf numFmtId="43" fontId="4" fillId="0" borderId="36" xfId="1" applyFont="1" applyFill="1" applyBorder="1" applyAlignment="1">
      <alignment horizontal="center" vertical="center" wrapText="1"/>
    </xf>
    <xf numFmtId="0" fontId="5" fillId="0" borderId="18" xfId="0" quotePrefix="1" applyFont="1" applyBorder="1" applyAlignment="1">
      <alignment vertical="center"/>
    </xf>
    <xf numFmtId="0" fontId="15" fillId="0" borderId="67" xfId="0" applyFont="1" applyBorder="1" applyAlignment="1">
      <alignment vertical="center" wrapText="1"/>
    </xf>
    <xf numFmtId="0" fontId="5" fillId="0" borderId="63" xfId="0" applyFont="1" applyBorder="1" applyAlignment="1">
      <alignment vertical="center" wrapText="1"/>
    </xf>
    <xf numFmtId="43" fontId="4" fillId="0" borderId="63" xfId="1" applyFont="1" applyBorder="1" applyAlignment="1">
      <alignment vertical="center"/>
    </xf>
    <xf numFmtId="43" fontId="4" fillId="0" borderId="30" xfId="1" applyFont="1" applyBorder="1" applyAlignment="1">
      <alignment vertical="center"/>
    </xf>
    <xf numFmtId="43" fontId="5" fillId="0" borderId="67" xfId="1" applyFont="1" applyFill="1" applyBorder="1" applyAlignment="1">
      <alignment vertical="center" wrapText="1"/>
    </xf>
    <xf numFmtId="43" fontId="5" fillId="0" borderId="34" xfId="1" applyFont="1" applyBorder="1" applyAlignment="1">
      <alignment vertical="center"/>
    </xf>
    <xf numFmtId="43" fontId="5" fillId="0" borderId="37" xfId="1" applyFont="1" applyFill="1" applyBorder="1" applyAlignment="1">
      <alignment horizontal="center" vertical="center" wrapText="1"/>
    </xf>
    <xf numFmtId="0" fontId="4" fillId="0" borderId="15" xfId="1" applyNumberFormat="1" applyFont="1" applyFill="1" applyBorder="1" applyAlignment="1">
      <alignment horizontal="left" vertical="center" wrapText="1"/>
    </xf>
    <xf numFmtId="0" fontId="5" fillId="0" borderId="54" xfId="0" applyFont="1" applyBorder="1" applyAlignment="1">
      <alignment horizontal="center" vertical="center" wrapText="1"/>
    </xf>
    <xf numFmtId="43" fontId="4" fillId="0" borderId="52" xfId="1" applyFont="1" applyBorder="1" applyAlignment="1">
      <alignment vertical="center"/>
    </xf>
    <xf numFmtId="43" fontId="5" fillId="0" borderId="39" xfId="1" applyFont="1" applyFill="1" applyBorder="1" applyAlignment="1">
      <alignment vertical="center" wrapText="1"/>
    </xf>
    <xf numFmtId="43" fontId="5" fillId="0" borderId="32" xfId="1" applyFont="1" applyBorder="1" applyAlignment="1">
      <alignment vertical="center"/>
    </xf>
    <xf numFmtId="43" fontId="5" fillId="0" borderId="66" xfId="1" applyFont="1" applyFill="1" applyBorder="1" applyAlignment="1">
      <alignment horizontal="center" vertical="center" wrapText="1"/>
    </xf>
    <xf numFmtId="43" fontId="4" fillId="0" borderId="52" xfId="1" applyFont="1" applyFill="1" applyBorder="1" applyAlignment="1">
      <alignment horizontal="center" vertical="center" wrapText="1"/>
    </xf>
    <xf numFmtId="43" fontId="4" fillId="0" borderId="15" xfId="1" applyFont="1" applyFill="1" applyBorder="1" applyAlignment="1">
      <alignment horizontal="center" vertical="center" wrapText="1"/>
    </xf>
    <xf numFmtId="0" fontId="5" fillId="0" borderId="64" xfId="0" quotePrefix="1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52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0" borderId="58" xfId="0" quotePrefix="1" applyFont="1" applyBorder="1" applyAlignment="1">
      <alignment vertical="center"/>
    </xf>
    <xf numFmtId="0" fontId="5" fillId="5" borderId="52" xfId="0" applyFont="1" applyFill="1" applyBorder="1" applyAlignment="1">
      <alignment horizontal="center" vertical="center"/>
    </xf>
    <xf numFmtId="0" fontId="22" fillId="5" borderId="5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3" fontId="5" fillId="0" borderId="57" xfId="1" applyFont="1" applyFill="1" applyBorder="1" applyAlignment="1">
      <alignment horizontal="center" vertical="center" wrapText="1"/>
    </xf>
    <xf numFmtId="43" fontId="5" fillId="0" borderId="40" xfId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43" fontId="5" fillId="0" borderId="15" xfId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43" fontId="15" fillId="0" borderId="1" xfId="1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/>
    </xf>
    <xf numFmtId="0" fontId="5" fillId="0" borderId="66" xfId="0" quotePrefix="1" applyFont="1" applyBorder="1" applyAlignment="1">
      <alignment vertical="center"/>
    </xf>
    <xf numFmtId="0" fontId="5" fillId="0" borderId="23" xfId="0" quotePrefix="1" applyFont="1" applyBorder="1" applyAlignment="1">
      <alignment vertical="center"/>
    </xf>
    <xf numFmtId="43" fontId="4" fillId="0" borderId="9" xfId="0" applyNumberFormat="1" applyFont="1" applyBorder="1" applyAlignment="1">
      <alignment horizontal="center" vertical="center" wrapText="1"/>
    </xf>
    <xf numFmtId="43" fontId="5" fillId="0" borderId="25" xfId="1" applyFont="1" applyFill="1" applyBorder="1" applyAlignment="1">
      <alignment horizontal="center" vertical="center" wrapText="1"/>
    </xf>
    <xf numFmtId="43" fontId="5" fillId="0" borderId="68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1" xfId="0" applyNumberFormat="1" applyBorder="1"/>
    <xf numFmtId="0" fontId="5" fillId="0" borderId="6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5" fillId="0" borderId="67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43" fontId="4" fillId="0" borderId="38" xfId="0" applyNumberFormat="1" applyFont="1" applyBorder="1" applyAlignment="1">
      <alignment horizontal="center" vertical="center" wrapText="1"/>
    </xf>
    <xf numFmtId="43" fontId="5" fillId="0" borderId="38" xfId="1" applyFont="1" applyFill="1" applyBorder="1" applyAlignment="1">
      <alignment horizontal="center" vertical="center" wrapText="1"/>
    </xf>
    <xf numFmtId="0" fontId="21" fillId="0" borderId="34" xfId="0" applyFont="1" applyBorder="1" applyAlignment="1">
      <alignment vertical="center" wrapText="1"/>
    </xf>
    <xf numFmtId="0" fontId="21" fillId="0" borderId="33" xfId="0" applyFont="1" applyBorder="1" applyAlignment="1">
      <alignment vertical="center" wrapText="1"/>
    </xf>
    <xf numFmtId="43" fontId="4" fillId="0" borderId="19" xfId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43" fontId="0" fillId="0" borderId="0" xfId="0" applyNumberFormat="1" applyAlignment="1">
      <alignment horizontal="left"/>
    </xf>
    <xf numFmtId="0" fontId="2" fillId="0" borderId="0" xfId="0" applyFont="1"/>
    <xf numFmtId="43" fontId="25" fillId="2" borderId="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2" borderId="54" xfId="0" applyFont="1" applyFill="1" applyBorder="1" applyAlignment="1">
      <alignment horizontal="center" vertical="center"/>
    </xf>
    <xf numFmtId="1" fontId="27" fillId="0" borderId="1" xfId="22" quotePrefix="1" applyNumberFormat="1" applyFont="1" applyBorder="1" applyAlignment="1">
      <alignment horizontal="center" vertical="center" wrapText="1"/>
    </xf>
    <xf numFmtId="1" fontId="27" fillId="0" borderId="1" xfId="22" applyNumberFormat="1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3" fontId="5" fillId="0" borderId="23" xfId="1" applyFont="1" applyBorder="1" applyAlignment="1">
      <alignment vertical="center"/>
    </xf>
    <xf numFmtId="43" fontId="3" fillId="0" borderId="0" xfId="1" applyFont="1" applyFill="1"/>
    <xf numFmtId="43" fontId="24" fillId="2" borderId="1" xfId="0" applyNumberFormat="1" applyFont="1" applyFill="1" applyBorder="1" applyAlignment="1">
      <alignment horizontal="center" vertical="center" wrapText="1"/>
    </xf>
    <xf numFmtId="43" fontId="0" fillId="0" borderId="0" xfId="1" applyFont="1" applyAlignment="1">
      <alignment vertical="center"/>
    </xf>
    <xf numFmtId="43" fontId="0" fillId="0" borderId="0" xfId="0" applyNumberFormat="1" applyAlignment="1">
      <alignment vertical="center"/>
    </xf>
    <xf numFmtId="43" fontId="24" fillId="2" borderId="9" xfId="0" applyNumberFormat="1" applyFont="1" applyFill="1" applyBorder="1" applyAlignment="1">
      <alignment horizontal="center" vertical="center" wrapText="1"/>
    </xf>
    <xf numFmtId="0" fontId="5" fillId="0" borderId="70" xfId="0" quotePrefix="1" applyFont="1" applyBorder="1" applyAlignment="1">
      <alignment vertical="center"/>
    </xf>
    <xf numFmtId="0" fontId="5" fillId="0" borderId="70" xfId="0" applyFont="1" applyBorder="1" applyAlignment="1">
      <alignment vertical="center"/>
    </xf>
    <xf numFmtId="43" fontId="24" fillId="2" borderId="30" xfId="0" applyNumberFormat="1" applyFont="1" applyFill="1" applyBorder="1" applyAlignment="1">
      <alignment horizontal="center" vertical="center" wrapText="1"/>
    </xf>
    <xf numFmtId="43" fontId="5" fillId="0" borderId="67" xfId="1" applyFont="1" applyFill="1" applyBorder="1" applyAlignment="1">
      <alignment horizontal="center" vertical="center" wrapText="1"/>
    </xf>
    <xf numFmtId="43" fontId="5" fillId="0" borderId="34" xfId="1" applyFont="1" applyFill="1" applyBorder="1" applyAlignment="1">
      <alignment horizontal="center" vertical="center" wrapText="1"/>
    </xf>
    <xf numFmtId="43" fontId="4" fillId="0" borderId="49" xfId="1" applyFont="1" applyBorder="1" applyAlignment="1">
      <alignment vertical="center"/>
    </xf>
    <xf numFmtId="43" fontId="10" fillId="0" borderId="0" xfId="1" applyFont="1" applyBorder="1" applyAlignment="1">
      <alignment horizontal="left"/>
    </xf>
    <xf numFmtId="43" fontId="10" fillId="0" borderId="0" xfId="0" applyNumberFormat="1" applyFont="1" applyAlignment="1">
      <alignment horizontal="left"/>
    </xf>
    <xf numFmtId="0" fontId="5" fillId="0" borderId="71" xfId="0" quotePrefix="1" applyFont="1" applyBorder="1" applyAlignment="1">
      <alignment vertical="center" wrapText="1"/>
    </xf>
    <xf numFmtId="0" fontId="5" fillId="0" borderId="64" xfId="0" quotePrefix="1" applyFont="1" applyBorder="1" applyAlignment="1">
      <alignment vertical="center" wrapText="1"/>
    </xf>
    <xf numFmtId="0" fontId="5" fillId="0" borderId="68" xfId="0" quotePrefix="1" applyFont="1" applyBorder="1" applyAlignment="1">
      <alignment vertical="center" wrapText="1"/>
    </xf>
    <xf numFmtId="0" fontId="5" fillId="0" borderId="65" xfId="0" quotePrefix="1" applyFont="1" applyBorder="1" applyAlignment="1">
      <alignment vertical="center" wrapText="1"/>
    </xf>
    <xf numFmtId="0" fontId="5" fillId="0" borderId="58" xfId="0" quotePrefix="1" applyFont="1" applyBorder="1" applyAlignment="1">
      <alignment vertical="center" wrapText="1"/>
    </xf>
    <xf numFmtId="0" fontId="5" fillId="0" borderId="25" xfId="0" quotePrefix="1" applyFont="1" applyBorder="1" applyAlignment="1">
      <alignment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4" fillId="0" borderId="56" xfId="1" applyFont="1" applyBorder="1" applyAlignment="1">
      <alignment vertical="center"/>
    </xf>
    <xf numFmtId="43" fontId="7" fillId="0" borderId="0" xfId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vertical="center" wrapText="1"/>
    </xf>
    <xf numFmtId="43" fontId="7" fillId="0" borderId="1" xfId="1" applyFont="1" applyFill="1" applyBorder="1" applyAlignment="1">
      <alignment vertical="center" wrapText="1"/>
    </xf>
    <xf numFmtId="0" fontId="15" fillId="0" borderId="9" xfId="2" applyFont="1" applyFill="1" applyBorder="1" applyAlignment="1">
      <alignment vertical="center" wrapText="1"/>
    </xf>
    <xf numFmtId="43" fontId="7" fillId="0" borderId="9" xfId="1" applyFont="1" applyFill="1" applyBorder="1" applyAlignment="1">
      <alignment horizontal="center" vertical="center" wrapText="1"/>
    </xf>
    <xf numFmtId="43" fontId="4" fillId="0" borderId="34" xfId="1" applyFont="1" applyBorder="1" applyAlignment="1">
      <alignment vertical="center"/>
    </xf>
    <xf numFmtId="4" fontId="0" fillId="0" borderId="0" xfId="0" applyNumberFormat="1"/>
    <xf numFmtId="0" fontId="5" fillId="0" borderId="0" xfId="0" applyFont="1"/>
    <xf numFmtId="43" fontId="2" fillId="0" borderId="0" xfId="0" applyNumberFormat="1" applyFont="1"/>
    <xf numFmtId="1" fontId="15" fillId="0" borderId="64" xfId="22" applyNumberFormat="1" applyFont="1" applyBorder="1" applyAlignment="1">
      <alignment vertical="center" wrapText="1"/>
    </xf>
    <xf numFmtId="1" fontId="15" fillId="0" borderId="11" xfId="22" applyNumberFormat="1" applyFont="1" applyBorder="1" applyAlignment="1">
      <alignment horizontal="center" vertical="center" wrapText="1"/>
    </xf>
    <xf numFmtId="43" fontId="7" fillId="0" borderId="1" xfId="1" applyFont="1" applyFill="1" applyBorder="1" applyAlignment="1" applyProtection="1">
      <alignment horizontal="center" vertical="center" wrapText="1"/>
      <protection locked="0"/>
    </xf>
    <xf numFmtId="1" fontId="15" fillId="0" borderId="25" xfId="22" applyNumberFormat="1" applyFont="1" applyBorder="1" applyAlignment="1">
      <alignment vertical="center" wrapText="1"/>
    </xf>
    <xf numFmtId="1" fontId="15" fillId="0" borderId="25" xfId="22" quotePrefix="1" applyNumberFormat="1" applyFont="1" applyBorder="1" applyAlignment="1">
      <alignment vertical="center" wrapText="1"/>
    </xf>
    <xf numFmtId="0" fontId="15" fillId="0" borderId="58" xfId="0" applyFont="1" applyBorder="1" applyAlignment="1">
      <alignment vertical="center"/>
    </xf>
    <xf numFmtId="1" fontId="15" fillId="0" borderId="2" xfId="22" applyNumberFormat="1" applyFont="1" applyBorder="1" applyAlignment="1">
      <alignment horizontal="center" vertical="center" wrapText="1"/>
    </xf>
    <xf numFmtId="1" fontId="15" fillId="0" borderId="0" xfId="22" applyNumberFormat="1" applyFont="1" applyAlignment="1">
      <alignment horizontal="center" vertical="center" wrapText="1"/>
    </xf>
    <xf numFmtId="0" fontId="15" fillId="0" borderId="70" xfId="0" applyFont="1" applyBorder="1" applyAlignment="1">
      <alignment vertical="center"/>
    </xf>
    <xf numFmtId="1" fontId="15" fillId="0" borderId="70" xfId="22" applyNumberFormat="1" applyFont="1" applyBorder="1" applyAlignment="1">
      <alignment vertical="center" wrapText="1"/>
    </xf>
    <xf numFmtId="43" fontId="3" fillId="0" borderId="0" xfId="1" applyFont="1"/>
    <xf numFmtId="43" fontId="2" fillId="0" borderId="0" xfId="1" applyFont="1" applyFill="1"/>
    <xf numFmtId="43" fontId="12" fillId="0" borderId="0" xfId="1" applyFont="1" applyFill="1" applyAlignment="1">
      <alignment horizontal="left"/>
    </xf>
    <xf numFmtId="1" fontId="15" fillId="0" borderId="1" xfId="0" applyNumberFormat="1" applyFont="1" applyBorder="1" applyAlignment="1" applyProtection="1">
      <alignment vertical="center" wrapText="1"/>
      <protection locked="0"/>
    </xf>
    <xf numFmtId="43" fontId="5" fillId="0" borderId="0" xfId="1" applyFont="1" applyFill="1" applyBorder="1" applyAlignment="1">
      <alignment horizontal="center" wrapText="1"/>
    </xf>
    <xf numFmtId="43" fontId="0" fillId="0" borderId="0" xfId="1" applyFont="1" applyBorder="1" applyAlignment="1"/>
    <xf numFmtId="0" fontId="0" fillId="0" borderId="54" xfId="0" applyBorder="1"/>
    <xf numFmtId="1" fontId="15" fillId="0" borderId="38" xfId="0" applyNumberFormat="1" applyFont="1" applyBorder="1" applyAlignment="1" applyProtection="1">
      <alignment vertical="center" wrapText="1"/>
      <protection locked="0"/>
    </xf>
    <xf numFmtId="43" fontId="7" fillId="0" borderId="38" xfId="1" applyFont="1" applyFill="1" applyBorder="1" applyAlignment="1" applyProtection="1">
      <alignment horizontal="center" vertical="center" wrapText="1"/>
      <protection locked="0"/>
    </xf>
    <xf numFmtId="49" fontId="15" fillId="0" borderId="64" xfId="0" applyNumberFormat="1" applyFont="1" applyBorder="1" applyAlignment="1" applyProtection="1">
      <alignment vertical="center" wrapText="1"/>
      <protection locked="0"/>
    </xf>
    <xf numFmtId="0" fontId="15" fillId="0" borderId="52" xfId="0" applyFont="1" applyBorder="1" applyAlignment="1" applyProtection="1">
      <alignment horizontal="center" vertical="center"/>
      <protection locked="0"/>
    </xf>
    <xf numFmtId="43" fontId="4" fillId="2" borderId="1" xfId="1" applyFont="1" applyFill="1" applyBorder="1" applyAlignment="1">
      <alignment horizontal="center" vertical="center" wrapText="1"/>
    </xf>
    <xf numFmtId="49" fontId="15" fillId="0" borderId="25" xfId="0" applyNumberFormat="1" applyFont="1" applyBorder="1" applyAlignment="1" applyProtection="1">
      <alignment vertical="center" wrapText="1"/>
      <protection locked="0"/>
    </xf>
    <xf numFmtId="1" fontId="15" fillId="0" borderId="11" xfId="0" applyNumberFormat="1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1" fontId="15" fillId="0" borderId="11" xfId="22" applyNumberFormat="1" applyFont="1" applyBorder="1" applyAlignment="1" applyProtection="1">
      <alignment horizontal="center" vertical="center" wrapText="1"/>
      <protection locked="0"/>
    </xf>
    <xf numFmtId="0" fontId="21" fillId="0" borderId="65" xfId="0" applyFont="1" applyBorder="1" applyAlignment="1">
      <alignment horizontal="center" vertical="center" wrapText="1"/>
    </xf>
    <xf numFmtId="1" fontId="15" fillId="0" borderId="42" xfId="22" applyNumberFormat="1" applyFont="1" applyBorder="1" applyAlignment="1" applyProtection="1">
      <alignment horizontal="center" vertical="center" wrapText="1"/>
      <protection locked="0"/>
    </xf>
    <xf numFmtId="1" fontId="15" fillId="0" borderId="42" xfId="22" applyNumberFormat="1" applyFont="1" applyBorder="1" applyAlignment="1" applyProtection="1">
      <alignment vertical="center" wrapText="1"/>
      <protection locked="0"/>
    </xf>
    <xf numFmtId="0" fontId="15" fillId="0" borderId="42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43" fontId="4" fillId="0" borderId="23" xfId="1" applyFont="1" applyBorder="1" applyAlignment="1">
      <alignment vertical="center"/>
    </xf>
    <xf numFmtId="43" fontId="0" fillId="0" borderId="0" xfId="1" applyFont="1" applyBorder="1" applyAlignment="1">
      <alignment vertical="center"/>
    </xf>
    <xf numFmtId="43" fontId="7" fillId="0" borderId="25" xfId="1" applyFont="1" applyFill="1" applyBorder="1" applyAlignment="1" applyProtection="1">
      <alignment horizontal="center" vertical="center" wrapText="1"/>
      <protection locked="0"/>
    </xf>
    <xf numFmtId="43" fontId="7" fillId="0" borderId="9" xfId="1" applyFont="1" applyFill="1" applyBorder="1" applyAlignment="1" applyProtection="1">
      <alignment horizontal="center" vertical="center" wrapText="1"/>
      <protection locked="0"/>
    </xf>
    <xf numFmtId="43" fontId="0" fillId="0" borderId="0" xfId="1" applyFont="1" applyBorder="1"/>
    <xf numFmtId="0" fontId="15" fillId="0" borderId="11" xfId="0" applyFont="1" applyBorder="1" applyAlignment="1">
      <alignment horizontal="center" vertical="center" wrapText="1"/>
    </xf>
    <xf numFmtId="0" fontId="15" fillId="2" borderId="25" xfId="0" applyFont="1" applyFill="1" applyBorder="1" applyAlignment="1">
      <alignment vertical="center"/>
    </xf>
    <xf numFmtId="1" fontId="15" fillId="2" borderId="25" xfId="22" applyNumberFormat="1" applyFont="1" applyFill="1" applyBorder="1" applyAlignment="1">
      <alignment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" fontId="15" fillId="0" borderId="1" xfId="22" applyNumberFormat="1" applyFont="1" applyBorder="1" applyAlignment="1">
      <alignment vertical="center" wrapText="1"/>
    </xf>
    <xf numFmtId="43" fontId="7" fillId="0" borderId="11" xfId="1" applyFont="1" applyFill="1" applyBorder="1" applyAlignment="1">
      <alignment horizontal="center" vertical="center" wrapText="1"/>
    </xf>
    <xf numFmtId="43" fontId="7" fillId="0" borderId="16" xfId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15" fillId="0" borderId="6" xfId="0" applyFont="1" applyBorder="1" applyAlignment="1">
      <alignment wrapText="1"/>
    </xf>
    <xf numFmtId="1" fontId="15" fillId="0" borderId="9" xfId="22" applyNumberFormat="1" applyFont="1" applyBorder="1" applyAlignment="1">
      <alignment vertical="center" wrapText="1"/>
    </xf>
    <xf numFmtId="43" fontId="7" fillId="0" borderId="43" xfId="1" applyFont="1" applyFill="1" applyBorder="1" applyAlignment="1">
      <alignment horizontal="center" vertical="center" wrapText="1"/>
    </xf>
    <xf numFmtId="43" fontId="7" fillId="0" borderId="36" xfId="1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vertical="center" wrapText="1"/>
    </xf>
    <xf numFmtId="1" fontId="15" fillId="0" borderId="23" xfId="22" applyNumberFormat="1" applyFont="1" applyBorder="1" applyAlignment="1">
      <alignment vertical="center" wrapText="1"/>
    </xf>
    <xf numFmtId="43" fontId="7" fillId="0" borderId="52" xfId="1" applyFont="1" applyFill="1" applyBorder="1" applyAlignment="1">
      <alignment horizontal="center" vertical="center" wrapText="1"/>
    </xf>
    <xf numFmtId="43" fontId="7" fillId="0" borderId="15" xfId="1" applyFont="1" applyFill="1" applyBorder="1" applyAlignment="1">
      <alignment horizontal="center" vertical="center" wrapText="1"/>
    </xf>
    <xf numFmtId="43" fontId="5" fillId="0" borderId="52" xfId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43" fontId="3" fillId="0" borderId="0" xfId="0" applyNumberFormat="1" applyFont="1"/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1" fontId="15" fillId="2" borderId="1" xfId="22" quotePrefix="1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1" fontId="15" fillId="2" borderId="1" xfId="22" applyNumberFormat="1" applyFont="1" applyFill="1" applyBorder="1" applyAlignment="1">
      <alignment vertical="center"/>
    </xf>
    <xf numFmtId="1" fontId="15" fillId="2" borderId="1" xfId="22" applyNumberFormat="1" applyFont="1" applyFill="1" applyBorder="1" applyAlignment="1">
      <alignment vertical="center" wrapText="1"/>
    </xf>
    <xf numFmtId="1" fontId="15" fillId="2" borderId="25" xfId="22" quotePrefix="1" applyNumberFormat="1" applyFont="1" applyFill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43" fontId="7" fillId="0" borderId="49" xfId="1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vertical="center" wrapText="1"/>
    </xf>
    <xf numFmtId="43" fontId="30" fillId="0" borderId="0" xfId="0" applyNumberFormat="1" applyFont="1"/>
    <xf numFmtId="43" fontId="4" fillId="0" borderId="0" xfId="1" applyFont="1" applyAlignment="1">
      <alignment horizontal="left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5" fillId="0" borderId="64" xfId="0" applyFont="1" applyBorder="1" applyAlignment="1">
      <alignment vertical="center" wrapText="1"/>
    </xf>
    <xf numFmtId="1" fontId="15" fillId="0" borderId="54" xfId="22" applyNumberFormat="1" applyFont="1" applyBorder="1" applyAlignment="1">
      <alignment horizontal="center" vertical="center" wrapText="1"/>
    </xf>
    <xf numFmtId="43" fontId="7" fillId="0" borderId="18" xfId="1" applyFont="1" applyFill="1" applyBorder="1" applyAlignment="1">
      <alignment horizontal="center" vertical="center" wrapText="1"/>
    </xf>
    <xf numFmtId="43" fontId="4" fillId="0" borderId="18" xfId="1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vertical="center" wrapText="1"/>
    </xf>
    <xf numFmtId="0" fontId="15" fillId="0" borderId="58" xfId="0" applyFont="1" applyBorder="1" applyAlignment="1">
      <alignment vertical="center" wrapText="1"/>
    </xf>
    <xf numFmtId="11" fontId="15" fillId="0" borderId="58" xfId="0" applyNumberFormat="1" applyFont="1" applyBorder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43" fontId="4" fillId="0" borderId="6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4" fillId="3" borderId="35" xfId="1" applyFont="1" applyFill="1" applyBorder="1" applyAlignment="1">
      <alignment horizontal="center" vertical="center" wrapText="1"/>
    </xf>
    <xf numFmtId="171" fontId="31" fillId="0" borderId="1" xfId="22" applyNumberFormat="1" applyFont="1" applyBorder="1" applyAlignment="1" applyProtection="1">
      <alignment vertical="center" wrapText="1"/>
      <protection locked="0"/>
    </xf>
    <xf numFmtId="44" fontId="15" fillId="0" borderId="6" xfId="21" applyFont="1" applyFill="1" applyBorder="1" applyAlignment="1" applyProtection="1">
      <alignment vertical="center" wrapText="1"/>
    </xf>
    <xf numFmtId="171" fontId="15" fillId="0" borderId="1" xfId="22" applyNumberFormat="1" applyFont="1" applyBorder="1" applyAlignment="1" applyProtection="1">
      <alignment vertical="center" wrapText="1"/>
      <protection locked="0"/>
    </xf>
    <xf numFmtId="1" fontId="15" fillId="0" borderId="6" xfId="22" applyNumberFormat="1" applyFont="1" applyBorder="1" applyAlignment="1">
      <alignment vertical="center" wrapText="1"/>
    </xf>
    <xf numFmtId="1" fontId="15" fillId="0" borderId="1" xfId="0" applyNumberFormat="1" applyFont="1" applyBorder="1" applyAlignment="1">
      <alignment vertical="center" wrapText="1"/>
    </xf>
    <xf numFmtId="1" fontId="15" fillId="0" borderId="8" xfId="22" applyNumberFormat="1" applyFont="1" applyBorder="1" applyAlignment="1">
      <alignment vertical="center" wrapText="1"/>
    </xf>
    <xf numFmtId="1" fontId="15" fillId="0" borderId="9" xfId="0" applyNumberFormat="1" applyFont="1" applyBorder="1" applyAlignment="1">
      <alignment vertical="center" wrapText="1"/>
    </xf>
    <xf numFmtId="1" fontId="15" fillId="0" borderId="67" xfId="22" applyNumberFormat="1" applyFont="1" applyBorder="1" applyAlignment="1">
      <alignment vertical="center" wrapText="1"/>
    </xf>
    <xf numFmtId="1" fontId="15" fillId="0" borderId="38" xfId="0" quotePrefix="1" applyNumberFormat="1" applyFont="1" applyBorder="1" applyAlignment="1">
      <alignment vertical="center" wrapText="1"/>
    </xf>
    <xf numFmtId="43" fontId="7" fillId="0" borderId="63" xfId="1" applyFont="1" applyFill="1" applyBorder="1" applyAlignment="1">
      <alignment horizontal="center" vertical="center" wrapText="1"/>
    </xf>
    <xf numFmtId="43" fontId="5" fillId="0" borderId="63" xfId="1" applyFont="1" applyFill="1" applyBorder="1" applyAlignment="1">
      <alignment horizontal="center" vertical="center" wrapText="1"/>
    </xf>
    <xf numFmtId="43" fontId="5" fillId="0" borderId="30" xfId="1" applyFont="1" applyFill="1" applyBorder="1" applyAlignment="1">
      <alignment horizontal="center" vertical="center" wrapText="1"/>
    </xf>
    <xf numFmtId="43" fontId="4" fillId="0" borderId="30" xfId="1" applyFont="1" applyFill="1" applyBorder="1" applyAlignment="1">
      <alignment vertical="center"/>
    </xf>
    <xf numFmtId="0" fontId="34" fillId="0" borderId="0" xfId="0" applyFont="1" applyAlignment="1">
      <alignment horizontal="right"/>
    </xf>
    <xf numFmtId="0" fontId="35" fillId="0" borderId="0" xfId="0" applyFont="1"/>
    <xf numFmtId="0" fontId="34" fillId="0" borderId="0" xfId="0" applyFont="1"/>
    <xf numFmtId="0" fontId="36" fillId="0" borderId="26" xfId="0" applyFont="1" applyBorder="1"/>
    <xf numFmtId="0" fontId="4" fillId="0" borderId="6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3" fontId="7" fillId="0" borderId="23" xfId="1" applyFont="1" applyFill="1" applyBorder="1" applyAlignment="1">
      <alignment vertical="center" wrapText="1"/>
    </xf>
    <xf numFmtId="43" fontId="4" fillId="0" borderId="23" xfId="1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43" fontId="4" fillId="3" borderId="27" xfId="1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vertical="center"/>
    </xf>
    <xf numFmtId="1" fontId="15" fillId="2" borderId="64" xfId="22" applyNumberFormat="1" applyFont="1" applyFill="1" applyBorder="1" applyAlignment="1">
      <alignment vertical="center" wrapText="1"/>
    </xf>
    <xf numFmtId="0" fontId="15" fillId="2" borderId="64" xfId="0" quotePrefix="1" applyFont="1" applyFill="1" applyBorder="1" applyAlignment="1">
      <alignment vertical="center"/>
    </xf>
    <xf numFmtId="0" fontId="15" fillId="2" borderId="52" xfId="0" applyFont="1" applyFill="1" applyBorder="1" applyAlignment="1">
      <alignment horizontal="center" vertical="center"/>
    </xf>
    <xf numFmtId="0" fontId="15" fillId="2" borderId="25" xfId="0" quotePrefix="1" applyFont="1" applyFill="1" applyBorder="1" applyAlignment="1">
      <alignment vertical="center"/>
    </xf>
    <xf numFmtId="0" fontId="15" fillId="2" borderId="52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58" xfId="0" quotePrefix="1" applyFont="1" applyFill="1" applyBorder="1" applyAlignment="1">
      <alignment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18" xfId="0" quotePrefix="1" applyFont="1" applyFill="1" applyBorder="1" applyAlignment="1">
      <alignment vertical="center"/>
    </xf>
    <xf numFmtId="0" fontId="15" fillId="2" borderId="68" xfId="0" quotePrefix="1" applyFont="1" applyFill="1" applyBorder="1" applyAlignment="1">
      <alignment vertical="center"/>
    </xf>
    <xf numFmtId="1" fontId="15" fillId="2" borderId="65" xfId="22" applyNumberFormat="1" applyFont="1" applyFill="1" applyBorder="1" applyAlignment="1">
      <alignment vertical="center" wrapText="1"/>
    </xf>
    <xf numFmtId="43" fontId="4" fillId="3" borderId="11" xfId="1" applyFont="1" applyFill="1" applyBorder="1" applyAlignment="1">
      <alignment horizontal="center" vertical="center" wrapText="1"/>
    </xf>
    <xf numFmtId="171" fontId="15" fillId="0" borderId="1" xfId="22" applyNumberFormat="1" applyFont="1" applyBorder="1" applyAlignment="1">
      <alignment vertical="center" wrapText="1"/>
    </xf>
    <xf numFmtId="43" fontId="7" fillId="0" borderId="7" xfId="1" applyFont="1" applyFill="1" applyBorder="1" applyAlignment="1">
      <alignment horizontal="center" vertical="center" wrapText="1"/>
    </xf>
    <xf numFmtId="43" fontId="15" fillId="0" borderId="11" xfId="1" applyFont="1" applyFill="1" applyBorder="1" applyAlignment="1">
      <alignment horizontal="center" vertical="center" wrapText="1"/>
    </xf>
    <xf numFmtId="0" fontId="15" fillId="0" borderId="1" xfId="22" applyFont="1" applyBorder="1" applyAlignment="1">
      <alignment vertical="center" wrapText="1"/>
    </xf>
    <xf numFmtId="43" fontId="0" fillId="0" borderId="0" xfId="0" applyNumberFormat="1" applyAlignment="1">
      <alignment horizontal="center" vertical="center"/>
    </xf>
    <xf numFmtId="0" fontId="15" fillId="0" borderId="38" xfId="22" applyFont="1" applyBorder="1" applyAlignment="1">
      <alignment vertical="center" wrapText="1"/>
    </xf>
    <xf numFmtId="0" fontId="4" fillId="0" borderId="0" xfId="0" applyFont="1" applyAlignment="1">
      <alignment horizontal="right" wrapText="1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164" fontId="4" fillId="0" borderId="42" xfId="0" applyNumberFormat="1" applyFont="1" applyBorder="1" applyAlignment="1">
      <alignment vertical="center"/>
    </xf>
    <xf numFmtId="0" fontId="3" fillId="0" borderId="1" xfId="0" applyFont="1" applyBorder="1"/>
    <xf numFmtId="43" fontId="4" fillId="0" borderId="55" xfId="1" applyFont="1" applyFill="1" applyBorder="1" applyAlignment="1">
      <alignment horizontal="center" vertical="center" wrapText="1"/>
    </xf>
    <xf numFmtId="43" fontId="5" fillId="0" borderId="0" xfId="0" applyNumberFormat="1" applyFont="1"/>
    <xf numFmtId="0" fontId="15" fillId="0" borderId="77" xfId="0" applyFont="1" applyBorder="1" applyAlignment="1">
      <alignment vertical="center" wrapText="1"/>
    </xf>
    <xf numFmtId="1" fontId="15" fillId="0" borderId="65" xfId="22" applyNumberFormat="1" applyFont="1" applyBorder="1" applyAlignment="1">
      <alignment vertical="center" wrapText="1"/>
    </xf>
    <xf numFmtId="0" fontId="15" fillId="0" borderId="18" xfId="0" applyFont="1" applyBorder="1" applyAlignment="1">
      <alignment vertical="center"/>
    </xf>
    <xf numFmtId="0" fontId="15" fillId="2" borderId="68" xfId="0" applyFont="1" applyFill="1" applyBorder="1" applyAlignment="1">
      <alignment vertical="center"/>
    </xf>
    <xf numFmtId="0" fontId="15" fillId="2" borderId="65" xfId="0" quotePrefix="1" applyFont="1" applyFill="1" applyBorder="1" applyAlignment="1">
      <alignment vertical="center"/>
    </xf>
    <xf numFmtId="0" fontId="15" fillId="0" borderId="38" xfId="0" applyFont="1" applyBorder="1" applyAlignment="1">
      <alignment vertical="center" wrapText="1"/>
    </xf>
    <xf numFmtId="0" fontId="21" fillId="0" borderId="30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43" fontId="4" fillId="0" borderId="53" xfId="1" applyFont="1" applyFill="1" applyBorder="1" applyAlignment="1">
      <alignment horizontal="center" vertical="center" wrapText="1"/>
    </xf>
    <xf numFmtId="43" fontId="4" fillId="0" borderId="76" xfId="1" applyFont="1" applyFill="1" applyBorder="1" applyAlignment="1">
      <alignment horizontal="center" vertical="center" wrapText="1"/>
    </xf>
    <xf numFmtId="1" fontId="37" fillId="0" borderId="1" xfId="2" applyNumberFormat="1" applyFont="1" applyFill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1" fontId="37" fillId="0" borderId="9" xfId="2" applyNumberFormat="1" applyFont="1" applyFill="1" applyBorder="1" applyAlignment="1">
      <alignment vertical="center" wrapText="1"/>
    </xf>
    <xf numFmtId="0" fontId="21" fillId="0" borderId="36" xfId="0" applyFont="1" applyBorder="1" applyAlignment="1">
      <alignment vertical="center" wrapText="1"/>
    </xf>
    <xf numFmtId="1" fontId="37" fillId="0" borderId="23" xfId="2" applyNumberFormat="1" applyFont="1" applyFill="1" applyBorder="1" applyAlignment="1">
      <alignment vertical="center" wrapText="1"/>
    </xf>
    <xf numFmtId="43" fontId="7" fillId="0" borderId="32" xfId="1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5" fillId="2" borderId="64" xfId="0" applyFont="1" applyFill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43" fontId="4" fillId="0" borderId="21" xfId="1" applyFont="1" applyFill="1" applyBorder="1" applyAlignment="1">
      <alignment horizontal="center" vertical="center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58" xfId="0" applyFont="1" applyFill="1" applyBorder="1" applyAlignment="1">
      <alignment vertical="center"/>
    </xf>
    <xf numFmtId="1" fontId="15" fillId="2" borderId="42" xfId="22" applyNumberFormat="1" applyFont="1" applyFill="1" applyBorder="1" applyAlignment="1">
      <alignment vertical="center" wrapText="1"/>
    </xf>
    <xf numFmtId="1" fontId="15" fillId="2" borderId="42" xfId="22" quotePrefix="1" applyNumberFormat="1" applyFont="1" applyFill="1" applyBorder="1" applyAlignment="1">
      <alignment vertical="center" wrapText="1"/>
    </xf>
    <xf numFmtId="0" fontId="15" fillId="2" borderId="0" xfId="0" applyFont="1" applyFill="1" applyAlignment="1">
      <alignment vertical="center"/>
    </xf>
    <xf numFmtId="1" fontId="15" fillId="2" borderId="0" xfId="22" quotePrefix="1" applyNumberFormat="1" applyFont="1" applyFill="1" applyAlignment="1">
      <alignment vertical="center" wrapText="1"/>
    </xf>
    <xf numFmtId="43" fontId="2" fillId="0" borderId="1" xfId="0" applyNumberFormat="1" applyFont="1" applyBorder="1"/>
    <xf numFmtId="0" fontId="15" fillId="2" borderId="79" xfId="0" applyFont="1" applyFill="1" applyBorder="1" applyAlignment="1">
      <alignment vertical="center"/>
    </xf>
    <xf numFmtId="43" fontId="15" fillId="0" borderId="11" xfId="1" applyFont="1" applyFill="1" applyBorder="1" applyAlignment="1">
      <alignment vertical="center" wrapText="1"/>
    </xf>
    <xf numFmtId="43" fontId="15" fillId="0" borderId="16" xfId="1" applyFont="1" applyFill="1" applyBorder="1" applyAlignment="1">
      <alignment vertical="center" wrapText="1"/>
    </xf>
    <xf numFmtId="0" fontId="15" fillId="2" borderId="24" xfId="0" applyFont="1" applyFill="1" applyBorder="1" applyAlignment="1">
      <alignment vertical="center"/>
    </xf>
    <xf numFmtId="1" fontId="15" fillId="0" borderId="25" xfId="0" applyNumberFormat="1" applyFont="1" applyBorder="1" applyAlignment="1">
      <alignment vertical="center" wrapText="1"/>
    </xf>
    <xf numFmtId="43" fontId="15" fillId="0" borderId="42" xfId="1" applyFont="1" applyFill="1" applyBorder="1" applyAlignment="1">
      <alignment vertical="center" wrapText="1"/>
    </xf>
    <xf numFmtId="43" fontId="0" fillId="0" borderId="0" xfId="1" applyFont="1" applyAlignment="1">
      <alignment horizontal="center" vertical="center"/>
    </xf>
    <xf numFmtId="43" fontId="0" fillId="0" borderId="0" xfId="0" applyNumberFormat="1" applyAlignment="1">
      <alignment horizontal="center"/>
    </xf>
    <xf numFmtId="0" fontId="15" fillId="2" borderId="8" xfId="0" applyFont="1" applyFill="1" applyBorder="1" applyAlignment="1">
      <alignment vertical="center"/>
    </xf>
    <xf numFmtId="1" fontId="15" fillId="2" borderId="9" xfId="22" applyNumberFormat="1" applyFont="1" applyFill="1" applyBorder="1" applyAlignment="1">
      <alignment vertical="center" wrapText="1"/>
    </xf>
    <xf numFmtId="0" fontId="15" fillId="2" borderId="43" xfId="0" applyFont="1" applyFill="1" applyBorder="1" applyAlignment="1">
      <alignment horizontal="center" vertical="center"/>
    </xf>
    <xf numFmtId="43" fontId="15" fillId="0" borderId="33" xfId="1" applyFont="1" applyFill="1" applyBorder="1" applyAlignment="1">
      <alignment vertical="center" wrapText="1"/>
    </xf>
    <xf numFmtId="43" fontId="15" fillId="0" borderId="36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15" fillId="2" borderId="23" xfId="0" applyFont="1" applyFill="1" applyBorder="1" applyAlignment="1">
      <alignment vertical="center"/>
    </xf>
    <xf numFmtId="1" fontId="15" fillId="2" borderId="55" xfId="22" applyNumberFormat="1" applyFont="1" applyFill="1" applyBorder="1" applyAlignment="1">
      <alignment vertical="center" wrapText="1"/>
    </xf>
    <xf numFmtId="1" fontId="15" fillId="0" borderId="38" xfId="0" applyNumberFormat="1" applyFont="1" applyBorder="1" applyAlignment="1">
      <alignment vertical="center" wrapText="1"/>
    </xf>
    <xf numFmtId="43" fontId="15" fillId="0" borderId="34" xfId="1" applyFont="1" applyFill="1" applyBorder="1" applyAlignment="1">
      <alignment vertical="center" wrapText="1"/>
    </xf>
    <xf numFmtId="43" fontId="15" fillId="0" borderId="30" xfId="1" applyFont="1" applyFill="1" applyBorder="1" applyAlignment="1">
      <alignment vertical="center" wrapText="1"/>
    </xf>
    <xf numFmtId="43" fontId="5" fillId="0" borderId="34" xfId="1" applyFont="1" applyFill="1" applyBorder="1" applyAlignment="1">
      <alignment vertical="center" wrapText="1"/>
    </xf>
    <xf numFmtId="164" fontId="5" fillId="0" borderId="15" xfId="1" quotePrefix="1" applyNumberFormat="1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/>
    </xf>
    <xf numFmtId="1" fontId="15" fillId="2" borderId="11" xfId="22" quotePrefix="1" applyNumberFormat="1" applyFont="1" applyFill="1" applyBorder="1" applyAlignment="1">
      <alignment vertical="center" wrapText="1"/>
    </xf>
    <xf numFmtId="1" fontId="15" fillId="0" borderId="65" xfId="0" applyNumberFormat="1" applyFont="1" applyBorder="1" applyAlignment="1">
      <alignment vertical="center" wrapText="1"/>
    </xf>
    <xf numFmtId="43" fontId="15" fillId="0" borderId="32" xfId="1" applyFont="1" applyFill="1" applyBorder="1" applyAlignment="1">
      <alignment vertical="center" wrapText="1"/>
    </xf>
    <xf numFmtId="43" fontId="15" fillId="0" borderId="15" xfId="1" applyFont="1" applyFill="1" applyBorder="1" applyAlignment="1">
      <alignment vertical="center" wrapText="1"/>
    </xf>
    <xf numFmtId="43" fontId="5" fillId="0" borderId="57" xfId="1" applyFont="1" applyFill="1" applyBorder="1" applyAlignment="1">
      <alignment vertical="center" wrapText="1"/>
    </xf>
    <xf numFmtId="1" fontId="15" fillId="0" borderId="0" xfId="0" applyNumberFormat="1" applyFont="1" applyAlignment="1">
      <alignment vertical="center" wrapText="1"/>
    </xf>
    <xf numFmtId="43" fontId="0" fillId="0" borderId="0" xfId="1" applyFont="1" applyAlignment="1">
      <alignment horizontal="left"/>
    </xf>
    <xf numFmtId="0" fontId="15" fillId="0" borderId="1" xfId="0" applyFont="1" applyBorder="1" applyAlignment="1">
      <alignment vertical="center"/>
    </xf>
    <xf numFmtId="0" fontId="15" fillId="0" borderId="55" xfId="0" applyFont="1" applyBorder="1" applyAlignment="1" applyProtection="1">
      <alignment horizontal="center" vertical="center" wrapText="1"/>
      <protection locked="0"/>
    </xf>
    <xf numFmtId="0" fontId="15" fillId="0" borderId="1" xfId="0" quotePrefix="1" applyFont="1" applyBorder="1" applyAlignment="1">
      <alignment horizontal="right" vertical="center"/>
    </xf>
    <xf numFmtId="0" fontId="15" fillId="0" borderId="69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68" xfId="0" applyFont="1" applyBorder="1" applyAlignment="1">
      <alignment vertical="center"/>
    </xf>
    <xf numFmtId="49" fontId="27" fillId="0" borderId="1" xfId="0" applyNumberFormat="1" applyFont="1" applyBorder="1" applyAlignment="1">
      <alignment horizontal="center" vertical="center"/>
    </xf>
    <xf numFmtId="4" fontId="38" fillId="0" borderId="1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5" fillId="0" borderId="76" xfId="0" applyFont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>
      <alignment vertical="center"/>
    </xf>
    <xf numFmtId="0" fontId="15" fillId="2" borderId="76" xfId="0" applyFont="1" applyFill="1" applyBorder="1" applyAlignment="1" applyProtection="1">
      <alignment horizontal="center" vertical="center" wrapText="1"/>
      <protection locked="0"/>
    </xf>
    <xf numFmtId="0" fontId="15" fillId="0" borderId="76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 wrapText="1"/>
    </xf>
    <xf numFmtId="43" fontId="7" fillId="0" borderId="38" xfId="1" applyFont="1" applyFill="1" applyBorder="1" applyAlignment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  <protection locked="0"/>
    </xf>
    <xf numFmtId="1" fontId="15" fillId="0" borderId="23" xfId="0" applyNumberFormat="1" applyFont="1" applyBorder="1" applyAlignment="1">
      <alignment vertical="center" wrapText="1"/>
    </xf>
    <xf numFmtId="0" fontId="15" fillId="0" borderId="11" xfId="0" quotePrefix="1" applyFont="1" applyBorder="1" applyAlignment="1">
      <alignment horizontal="right" vertical="center"/>
    </xf>
    <xf numFmtId="1" fontId="27" fillId="0" borderId="11" xfId="22" applyNumberFormat="1" applyFont="1" applyBorder="1" applyAlignment="1">
      <alignment horizontal="center" vertical="center" wrapText="1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21" fillId="0" borderId="23" xfId="0" applyFont="1" applyBorder="1" applyAlignment="1">
      <alignment vertical="center" wrapText="1"/>
    </xf>
    <xf numFmtId="171" fontId="15" fillId="0" borderId="52" xfId="23" applyNumberFormat="1" applyFont="1" applyBorder="1" applyAlignment="1">
      <alignment horizontal="center" vertical="center" wrapText="1"/>
    </xf>
    <xf numFmtId="49" fontId="15" fillId="0" borderId="11" xfId="23" applyNumberFormat="1" applyFont="1" applyBorder="1" applyAlignment="1">
      <alignment horizontal="center" vertical="center" wrapText="1"/>
    </xf>
    <xf numFmtId="171" fontId="15" fillId="2" borderId="11" xfId="23" applyNumberFormat="1" applyFont="1" applyFill="1" applyBorder="1" applyAlignment="1">
      <alignment horizontal="center" vertical="center" wrapText="1"/>
    </xf>
    <xf numFmtId="171" fontId="15" fillId="0" borderId="11" xfId="23" applyNumberFormat="1" applyFont="1" applyBorder="1" applyAlignment="1">
      <alignment horizontal="center" vertical="center" wrapText="1"/>
    </xf>
    <xf numFmtId="171" fontId="15" fillId="0" borderId="2" xfId="23" applyNumberFormat="1" applyFont="1" applyBorder="1" applyAlignment="1">
      <alignment horizontal="center" vertical="center" wrapText="1"/>
    </xf>
    <xf numFmtId="171" fontId="15" fillId="0" borderId="54" xfId="23" applyNumberFormat="1" applyFont="1" applyBorder="1" applyAlignment="1">
      <alignment horizontal="center" vertical="center" wrapText="1"/>
    </xf>
    <xf numFmtId="1" fontId="15" fillId="0" borderId="65" xfId="22" quotePrefix="1" applyNumberFormat="1" applyFont="1" applyBorder="1" applyAlignment="1">
      <alignment vertical="center" wrapText="1"/>
    </xf>
    <xf numFmtId="171" fontId="15" fillId="0" borderId="0" xfId="23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3" fontId="16" fillId="0" borderId="1" xfId="1" applyFont="1" applyFill="1" applyBorder="1" applyAlignment="1">
      <alignment horizontal="center" vertical="center" wrapText="1"/>
    </xf>
    <xf numFmtId="1" fontId="15" fillId="0" borderId="64" xfId="22" applyNumberFormat="1" applyFont="1" applyBorder="1" applyAlignment="1">
      <alignment horizontal="right" vertical="center" wrapText="1"/>
    </xf>
    <xf numFmtId="0" fontId="15" fillId="0" borderId="6" xfId="0" applyFont="1" applyBorder="1" applyAlignment="1">
      <alignment horizontal="center" vertical="center" wrapText="1"/>
    </xf>
    <xf numFmtId="1" fontId="15" fillId="0" borderId="25" xfId="22" applyNumberFormat="1" applyFont="1" applyBorder="1" applyAlignment="1">
      <alignment horizontal="right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43" fontId="7" fillId="0" borderId="23" xfId="0" applyNumberFormat="1" applyFont="1" applyBorder="1" applyAlignment="1">
      <alignment horizontal="center" vertical="center" wrapText="1"/>
    </xf>
    <xf numFmtId="1" fontId="15" fillId="2" borderId="25" xfId="22" applyNumberFormat="1" applyFont="1" applyFill="1" applyBorder="1" applyAlignment="1">
      <alignment horizontal="right" vertical="center" wrapText="1"/>
    </xf>
    <xf numFmtId="1" fontId="15" fillId="0" borderId="1" xfId="22" applyNumberFormat="1" applyFont="1" applyBorder="1" applyAlignment="1">
      <alignment horizontal="right" vertical="center" wrapText="1"/>
    </xf>
    <xf numFmtId="1" fontId="15" fillId="0" borderId="65" xfId="22" quotePrefix="1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horizontal="center" vertical="center" wrapText="1"/>
    </xf>
    <xf numFmtId="43" fontId="7" fillId="0" borderId="9" xfId="0" applyNumberFormat="1" applyFont="1" applyBorder="1" applyAlignment="1">
      <alignment horizontal="center" vertical="center" wrapText="1"/>
    </xf>
    <xf numFmtId="0" fontId="21" fillId="0" borderId="32" xfId="0" applyFont="1" applyBorder="1" applyAlignment="1">
      <alignment vertical="center" wrapText="1"/>
    </xf>
    <xf numFmtId="43" fontId="4" fillId="0" borderId="80" xfId="1" applyFont="1" applyBorder="1" applyAlignment="1">
      <alignment vertical="center"/>
    </xf>
    <xf numFmtId="43" fontId="7" fillId="0" borderId="46" xfId="1" applyFont="1" applyFill="1" applyBorder="1" applyAlignment="1">
      <alignment horizontal="center" vertical="center" wrapText="1"/>
    </xf>
    <xf numFmtId="43" fontId="4" fillId="0" borderId="80" xfId="1" applyFont="1" applyFill="1" applyBorder="1" applyAlignment="1">
      <alignment horizontal="center" vertical="center" wrapText="1"/>
    </xf>
    <xf numFmtId="43" fontId="4" fillId="0" borderId="81" xfId="1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171" fontId="15" fillId="0" borderId="1" xfId="22" applyNumberFormat="1" applyFont="1" applyBorder="1" applyAlignment="1">
      <alignment horizontal="center" vertical="center" wrapText="1"/>
    </xf>
    <xf numFmtId="1" fontId="15" fillId="0" borderId="1" xfId="22" applyNumberFormat="1" applyFont="1" applyBorder="1" applyAlignment="1">
      <alignment horizontal="center" vertical="center" wrapText="1"/>
    </xf>
    <xf numFmtId="171" fontId="15" fillId="0" borderId="11" xfId="22" applyNumberFormat="1" applyFont="1" applyBorder="1" applyAlignment="1">
      <alignment horizontal="center" vertical="center" wrapText="1"/>
    </xf>
    <xf numFmtId="0" fontId="15" fillId="0" borderId="23" xfId="22" applyFont="1" applyBorder="1" applyAlignment="1">
      <alignment vertical="center" wrapText="1"/>
    </xf>
    <xf numFmtId="171" fontId="15" fillId="0" borderId="9" xfId="22" applyNumberFormat="1" applyFont="1" applyBorder="1" applyAlignment="1">
      <alignment vertical="center" wrapText="1"/>
    </xf>
    <xf numFmtId="43" fontId="4" fillId="0" borderId="39" xfId="1" applyFont="1" applyFill="1" applyBorder="1" applyAlignment="1">
      <alignment horizontal="center" vertical="center" wrapText="1"/>
    </xf>
    <xf numFmtId="43" fontId="4" fillId="0" borderId="66" xfId="1" applyFont="1" applyFill="1" applyBorder="1" applyAlignment="1">
      <alignment horizontal="center" vertical="center" wrapText="1"/>
    </xf>
    <xf numFmtId="1" fontId="15" fillId="0" borderId="64" xfId="0" applyNumberFormat="1" applyFont="1" applyBorder="1" applyAlignment="1">
      <alignment vertical="center"/>
    </xf>
    <xf numFmtId="172" fontId="15" fillId="0" borderId="52" xfId="0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vertical="center"/>
    </xf>
    <xf numFmtId="172" fontId="15" fillId="0" borderId="11" xfId="0" applyNumberFormat="1" applyFont="1" applyBorder="1" applyAlignment="1">
      <alignment horizontal="center" vertical="center" wrapText="1"/>
    </xf>
    <xf numFmtId="172" fontId="15" fillId="0" borderId="54" xfId="0" applyNumberFormat="1" applyFont="1" applyBorder="1" applyAlignment="1">
      <alignment horizontal="center" vertical="center" wrapText="1"/>
    </xf>
    <xf numFmtId="1" fontId="15" fillId="4" borderId="58" xfId="0" applyNumberFormat="1" applyFont="1" applyFill="1" applyBorder="1" applyAlignment="1">
      <alignment vertical="center"/>
    </xf>
    <xf numFmtId="172" fontId="15" fillId="0" borderId="82" xfId="0" applyNumberFormat="1" applyFont="1" applyBorder="1" applyAlignment="1">
      <alignment horizontal="center" vertical="center" wrapText="1"/>
    </xf>
    <xf numFmtId="1" fontId="15" fillId="4" borderId="0" xfId="0" applyNumberFormat="1" applyFont="1" applyFill="1" applyAlignment="1">
      <alignment vertical="center"/>
    </xf>
    <xf numFmtId="1" fontId="15" fillId="0" borderId="0" xfId="0" applyNumberFormat="1" applyFont="1" applyAlignment="1">
      <alignment vertical="center"/>
    </xf>
    <xf numFmtId="172" fontId="15" fillId="0" borderId="0" xfId="0" applyNumberFormat="1" applyFont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172" fontId="15" fillId="0" borderId="25" xfId="0" applyNumberFormat="1" applyFont="1" applyBorder="1" applyAlignment="1">
      <alignment vertical="center" wrapText="1"/>
    </xf>
    <xf numFmtId="43" fontId="7" fillId="0" borderId="42" xfId="1" applyFont="1" applyFill="1" applyBorder="1" applyAlignment="1">
      <alignment horizontal="center" vertical="center" wrapText="1"/>
    </xf>
    <xf numFmtId="43" fontId="7" fillId="0" borderId="28" xfId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172" fontId="15" fillId="0" borderId="9" xfId="0" applyNumberFormat="1" applyFont="1" applyBorder="1" applyAlignment="1">
      <alignment vertical="center" wrapText="1"/>
    </xf>
    <xf numFmtId="43" fontId="4" fillId="0" borderId="36" xfId="1" applyFont="1" applyBorder="1" applyAlignment="1">
      <alignment vertical="center"/>
    </xf>
    <xf numFmtId="43" fontId="4" fillId="0" borderId="19" xfId="1" applyFont="1" applyBorder="1" applyAlignment="1">
      <alignment horizontal="center" vertical="center"/>
    </xf>
    <xf numFmtId="1" fontId="15" fillId="2" borderId="58" xfId="22" applyNumberFormat="1" applyFont="1" applyFill="1" applyBorder="1" applyAlignment="1">
      <alignment vertical="center" wrapText="1"/>
    </xf>
    <xf numFmtId="0" fontId="27" fillId="2" borderId="1" xfId="0" quotePrefix="1" applyFont="1" applyFill="1" applyBorder="1" applyAlignment="1">
      <alignment horizontal="center" vertical="center"/>
    </xf>
    <xf numFmtId="1" fontId="27" fillId="2" borderId="1" xfId="22" applyNumberFormat="1" applyFont="1" applyFill="1" applyBorder="1" applyAlignment="1">
      <alignment horizontal="center" vertical="center" wrapText="1"/>
    </xf>
    <xf numFmtId="1" fontId="15" fillId="2" borderId="25" xfId="22" quotePrefix="1" applyNumberFormat="1" applyFont="1" applyFill="1" applyBorder="1" applyAlignment="1">
      <alignment horizontal="right" vertical="center" wrapText="1"/>
    </xf>
    <xf numFmtId="43" fontId="4" fillId="3" borderId="1" xfId="1" applyFont="1" applyFill="1" applyBorder="1" applyAlignment="1">
      <alignment horizontal="center" vertical="center" wrapText="1"/>
    </xf>
    <xf numFmtId="1" fontId="15" fillId="0" borderId="38" xfId="22" applyNumberFormat="1" applyFont="1" applyBorder="1" applyAlignment="1">
      <alignment vertical="center" wrapText="1"/>
    </xf>
    <xf numFmtId="43" fontId="15" fillId="0" borderId="38" xfId="1" applyFont="1" applyFill="1" applyBorder="1" applyAlignment="1">
      <alignment horizontal="center" vertical="center" wrapText="1"/>
    </xf>
    <xf numFmtId="0" fontId="15" fillId="0" borderId="0" xfId="0" applyFont="1"/>
    <xf numFmtId="0" fontId="4" fillId="0" borderId="0" xfId="0" applyFont="1"/>
    <xf numFmtId="0" fontId="1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3" fontId="39" fillId="0" borderId="1" xfId="22" applyNumberFormat="1" applyFont="1" applyBorder="1" applyAlignment="1">
      <alignment horizontal="center" vertical="center" wrapText="1"/>
    </xf>
    <xf numFmtId="0" fontId="15" fillId="2" borderId="25" xfId="22" applyFont="1" applyFill="1" applyBorder="1" applyAlignment="1">
      <alignment vertical="center"/>
    </xf>
    <xf numFmtId="0" fontId="15" fillId="4" borderId="25" xfId="22" applyFont="1" applyFill="1" applyBorder="1" applyAlignment="1">
      <alignment vertical="center"/>
    </xf>
    <xf numFmtId="1" fontId="15" fillId="4" borderId="25" xfId="22" applyNumberFormat="1" applyFont="1" applyFill="1" applyBorder="1" applyAlignment="1">
      <alignment vertical="center" wrapText="1"/>
    </xf>
    <xf numFmtId="0" fontId="15" fillId="0" borderId="25" xfId="22" applyFont="1" applyBorder="1" applyAlignment="1">
      <alignment vertical="center"/>
    </xf>
    <xf numFmtId="0" fontId="15" fillId="0" borderId="65" xfId="22" applyFont="1" applyBorder="1" applyAlignment="1">
      <alignment horizontal="center" vertical="center"/>
    </xf>
    <xf numFmtId="1" fontId="15" fillId="0" borderId="55" xfId="2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64" fontId="4" fillId="0" borderId="83" xfId="0" applyNumberFormat="1" applyFont="1" applyBorder="1" applyAlignment="1">
      <alignment vertical="center"/>
    </xf>
    <xf numFmtId="0" fontId="15" fillId="0" borderId="25" xfId="22" applyFont="1" applyBorder="1" applyAlignment="1">
      <alignment vertical="center" wrapText="1"/>
    </xf>
    <xf numFmtId="43" fontId="39" fillId="0" borderId="7" xfId="22" applyNumberFormat="1" applyFont="1" applyBorder="1" applyAlignment="1">
      <alignment horizontal="center" vertical="center" wrapText="1"/>
    </xf>
    <xf numFmtId="43" fontId="39" fillId="0" borderId="28" xfId="22" applyNumberFormat="1" applyFont="1" applyBorder="1" applyAlignment="1">
      <alignment horizontal="center" vertical="center" wrapText="1"/>
    </xf>
    <xf numFmtId="43" fontId="39" fillId="0" borderId="11" xfId="22" applyNumberFormat="1" applyFont="1" applyBorder="1" applyAlignment="1">
      <alignment horizontal="center" vertical="center" wrapText="1"/>
    </xf>
    <xf numFmtId="43" fontId="39" fillId="0" borderId="16" xfId="22" applyNumberFormat="1" applyFont="1" applyBorder="1" applyAlignment="1">
      <alignment horizontal="center" vertical="center" wrapText="1"/>
    </xf>
    <xf numFmtId="0" fontId="15" fillId="2" borderId="65" xfId="22" applyFont="1" applyFill="1" applyBorder="1" applyAlignment="1">
      <alignment vertical="center" wrapText="1"/>
    </xf>
    <xf numFmtId="43" fontId="39" fillId="0" borderId="40" xfId="22" applyNumberFormat="1" applyFont="1" applyBorder="1" applyAlignment="1">
      <alignment horizontal="center" vertical="center" wrapText="1"/>
    </xf>
    <xf numFmtId="0" fontId="15" fillId="2" borderId="25" xfId="22" applyFont="1" applyFill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15" fillId="0" borderId="25" xfId="22" applyFont="1" applyBorder="1" applyAlignment="1">
      <alignment horizontal="center" vertical="center" wrapText="1"/>
    </xf>
    <xf numFmtId="0" fontId="15" fillId="0" borderId="1" xfId="22" applyFont="1" applyBorder="1" applyAlignment="1">
      <alignment vertical="center"/>
    </xf>
    <xf numFmtId="49" fontId="15" fillId="0" borderId="11" xfId="22" applyNumberFormat="1" applyFont="1" applyBorder="1" applyAlignment="1">
      <alignment vertical="center" wrapText="1"/>
    </xf>
    <xf numFmtId="49" fontId="15" fillId="0" borderId="1" xfId="22" applyNumberFormat="1" applyFont="1" applyBorder="1" applyAlignment="1">
      <alignment vertical="center" wrapText="1"/>
    </xf>
    <xf numFmtId="0" fontId="15" fillId="0" borderId="52" xfId="0" applyFont="1" applyBorder="1" applyAlignment="1">
      <alignment horizontal="center" vertical="center"/>
    </xf>
    <xf numFmtId="0" fontId="15" fillId="0" borderId="65" xfId="22" applyFont="1" applyBorder="1" applyAlignment="1">
      <alignment vertical="center" wrapText="1"/>
    </xf>
    <xf numFmtId="0" fontId="4" fillId="0" borderId="45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43" fontId="7" fillId="0" borderId="76" xfId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vertical="center" wrapText="1"/>
    </xf>
    <xf numFmtId="1" fontId="15" fillId="2" borderId="2" xfId="22" applyNumberFormat="1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15" fillId="2" borderId="58" xfId="0" applyFont="1" applyFill="1" applyBorder="1" applyAlignment="1">
      <alignment vertical="center" wrapText="1"/>
    </xf>
    <xf numFmtId="43" fontId="7" fillId="0" borderId="29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" fontId="15" fillId="2" borderId="6" xfId="22" applyNumberFormat="1" applyFont="1" applyFill="1" applyBorder="1" applyAlignment="1">
      <alignment vertical="center" wrapText="1"/>
    </xf>
    <xf numFmtId="1" fontId="15" fillId="2" borderId="1" xfId="0" applyNumberFormat="1" applyFont="1" applyFill="1" applyBorder="1" applyAlignment="1">
      <alignment vertical="center" wrapText="1"/>
    </xf>
    <xf numFmtId="1" fontId="15" fillId="2" borderId="8" xfId="22" applyNumberFormat="1" applyFont="1" applyFill="1" applyBorder="1" applyAlignment="1">
      <alignment vertical="center" wrapText="1"/>
    </xf>
    <xf numFmtId="1" fontId="15" fillId="2" borderId="9" xfId="0" applyNumberFormat="1" applyFont="1" applyFill="1" applyBorder="1" applyAlignment="1">
      <alignment vertical="center" wrapText="1"/>
    </xf>
    <xf numFmtId="43" fontId="5" fillId="0" borderId="1" xfId="1" applyFont="1" applyFill="1" applyBorder="1" applyAlignment="1">
      <alignment vertical="center" wrapText="1"/>
    </xf>
    <xf numFmtId="43" fontId="15" fillId="0" borderId="1" xfId="0" applyNumberFormat="1" applyFont="1" applyBorder="1" applyAlignment="1">
      <alignment horizontal="center" vertical="center" wrapText="1"/>
    </xf>
    <xf numFmtId="43" fontId="15" fillId="0" borderId="23" xfId="0" applyNumberFormat="1" applyFont="1" applyBorder="1" applyAlignment="1">
      <alignment horizontal="center" vertical="center" wrapText="1"/>
    </xf>
    <xf numFmtId="43" fontId="7" fillId="0" borderId="25" xfId="0" applyNumberFormat="1" applyFont="1" applyBorder="1" applyAlignment="1">
      <alignment horizontal="center" vertical="center" wrapText="1"/>
    </xf>
    <xf numFmtId="0" fontId="21" fillId="0" borderId="27" xfId="0" applyFont="1" applyBorder="1" applyAlignment="1">
      <alignment vertical="center" wrapText="1"/>
    </xf>
    <xf numFmtId="0" fontId="15" fillId="0" borderId="71" xfId="0" applyFont="1" applyBorder="1" applyAlignment="1">
      <alignment vertical="center"/>
    </xf>
    <xf numFmtId="0" fontId="15" fillId="0" borderId="54" xfId="0" applyFont="1" applyBorder="1" applyAlignment="1">
      <alignment horizontal="center" vertical="center"/>
    </xf>
    <xf numFmtId="43" fontId="15" fillId="0" borderId="0" xfId="1" applyFont="1" applyFill="1"/>
    <xf numFmtId="0" fontId="4" fillId="0" borderId="84" xfId="0" applyFont="1" applyBorder="1" applyAlignment="1">
      <alignment horizontal="left" vertical="center" wrapText="1"/>
    </xf>
    <xf numFmtId="0" fontId="15" fillId="7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/>
    </xf>
    <xf numFmtId="0" fontId="15" fillId="7" borderId="1" xfId="0" applyFont="1" applyFill="1" applyBorder="1" applyAlignment="1">
      <alignment horizontal="center" vertical="center"/>
    </xf>
    <xf numFmtId="0" fontId="31" fillId="7" borderId="1" xfId="6" applyFont="1" applyFill="1" applyBorder="1" applyAlignment="1">
      <alignment vertical="center"/>
    </xf>
    <xf numFmtId="0" fontId="27" fillId="0" borderId="25" xfId="0" applyFont="1" applyBorder="1" applyAlignment="1">
      <alignment horizontal="center" vertical="center" wrapText="1"/>
    </xf>
    <xf numFmtId="43" fontId="15" fillId="0" borderId="0" xfId="0" applyNumberFormat="1" applyFont="1"/>
    <xf numFmtId="0" fontId="15" fillId="7" borderId="64" xfId="0" applyFont="1" applyFill="1" applyBorder="1" applyAlignment="1">
      <alignment vertical="center" wrapText="1"/>
    </xf>
    <xf numFmtId="0" fontId="15" fillId="7" borderId="85" xfId="0" applyFont="1" applyFill="1" applyBorder="1" applyAlignment="1">
      <alignment vertical="center" wrapText="1"/>
    </xf>
    <xf numFmtId="0" fontId="15" fillId="7" borderId="25" xfId="0" applyFont="1" applyFill="1" applyBorder="1" applyAlignment="1">
      <alignment vertical="center"/>
    </xf>
    <xf numFmtId="0" fontId="15" fillId="7" borderId="42" xfId="0" applyFont="1" applyFill="1" applyBorder="1" applyAlignment="1">
      <alignment vertical="center"/>
    </xf>
    <xf numFmtId="0" fontId="31" fillId="7" borderId="25" xfId="6" applyFont="1" applyFill="1" applyBorder="1" applyAlignment="1">
      <alignment vertical="center"/>
    </xf>
    <xf numFmtId="0" fontId="31" fillId="7" borderId="42" xfId="6" applyFont="1" applyFill="1" applyBorder="1" applyAlignment="1">
      <alignment vertical="center"/>
    </xf>
    <xf numFmtId="0" fontId="15" fillId="7" borderId="58" xfId="0" applyFont="1" applyFill="1" applyBorder="1" applyAlignment="1">
      <alignment vertical="center"/>
    </xf>
    <xf numFmtId="0" fontId="15" fillId="7" borderId="68" xfId="0" applyFont="1" applyFill="1" applyBorder="1" applyAlignment="1">
      <alignment horizontal="center" vertical="center"/>
    </xf>
    <xf numFmtId="0" fontId="15" fillId="7" borderId="55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31" fillId="7" borderId="11" xfId="6" applyFont="1" applyFill="1" applyBorder="1" applyAlignment="1">
      <alignment vertical="center"/>
    </xf>
    <xf numFmtId="0" fontId="15" fillId="0" borderId="54" xfId="0" applyFont="1" applyBorder="1" applyAlignment="1">
      <alignment horizontal="center" vertical="center" wrapText="1"/>
    </xf>
    <xf numFmtId="0" fontId="15" fillId="7" borderId="65" xfId="0" applyFont="1" applyFill="1" applyBorder="1" applyAlignment="1">
      <alignment vertical="center"/>
    </xf>
    <xf numFmtId="0" fontId="31" fillId="7" borderId="55" xfId="6" applyFont="1" applyFill="1" applyBorder="1" applyAlignment="1">
      <alignment vertical="center"/>
    </xf>
    <xf numFmtId="0" fontId="15" fillId="0" borderId="65" xfId="0" applyFont="1" applyBorder="1" applyAlignment="1">
      <alignment vertical="center" wrapText="1"/>
    </xf>
    <xf numFmtId="43" fontId="7" fillId="0" borderId="40" xfId="1" applyFont="1" applyFill="1" applyBorder="1" applyAlignment="1">
      <alignment horizontal="center" vertical="center" wrapText="1"/>
    </xf>
    <xf numFmtId="43" fontId="5" fillId="0" borderId="77" xfId="1" applyFont="1" applyFill="1" applyBorder="1" applyAlignment="1">
      <alignment horizontal="center" vertical="center" wrapText="1"/>
    </xf>
    <xf numFmtId="43" fontId="5" fillId="0" borderId="55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" fontId="15" fillId="7" borderId="1" xfId="22" applyNumberFormat="1" applyFont="1" applyFill="1" applyBorder="1" applyAlignment="1">
      <alignment vertical="center" wrapText="1"/>
    </xf>
    <xf numFmtId="170" fontId="0" fillId="0" borderId="0" xfId="1" applyNumberFormat="1" applyFont="1"/>
    <xf numFmtId="1" fontId="27" fillId="0" borderId="1" xfId="22" quotePrefix="1" applyNumberFormat="1" applyFont="1" applyBorder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0" fillId="0" borderId="0" xfId="1" applyFont="1" applyFill="1" applyBorder="1"/>
    <xf numFmtId="43" fontId="0" fillId="0" borderId="0" xfId="1" applyFont="1" applyFill="1" applyBorder="1" applyAlignment="1">
      <alignment vertical="center"/>
    </xf>
    <xf numFmtId="0" fontId="0" fillId="0" borderId="42" xfId="0" applyBorder="1"/>
    <xf numFmtId="0" fontId="0" fillId="0" borderId="26" xfId="0" applyBorder="1"/>
    <xf numFmtId="0" fontId="3" fillId="0" borderId="26" xfId="0" applyFont="1" applyBorder="1"/>
    <xf numFmtId="43" fontId="0" fillId="0" borderId="26" xfId="0" applyNumberFormat="1" applyBorder="1"/>
    <xf numFmtId="0" fontId="0" fillId="0" borderId="58" xfId="0" applyBorder="1"/>
    <xf numFmtId="0" fontId="0" fillId="0" borderId="68" xfId="0" applyBorder="1"/>
    <xf numFmtId="1" fontId="15" fillId="7" borderId="11" xfId="22" applyNumberFormat="1" applyFont="1" applyFill="1" applyBorder="1" applyAlignment="1">
      <alignment vertical="center" wrapText="1"/>
    </xf>
    <xf numFmtId="43" fontId="0" fillId="0" borderId="68" xfId="0" applyNumberFormat="1" applyBorder="1"/>
    <xf numFmtId="1" fontId="40" fillId="2" borderId="1" xfId="22" applyNumberFormat="1" applyFont="1" applyFill="1" applyBorder="1" applyAlignment="1">
      <alignment vertical="center" wrapText="1"/>
    </xf>
    <xf numFmtId="43" fontId="0" fillId="0" borderId="66" xfId="0" applyNumberFormat="1" applyBorder="1"/>
    <xf numFmtId="0" fontId="15" fillId="0" borderId="52" xfId="0" applyFont="1" applyBorder="1" applyAlignment="1" applyProtection="1">
      <alignment horizontal="center" vertical="center" wrapText="1"/>
      <protection locked="0"/>
    </xf>
    <xf numFmtId="1" fontId="15" fillId="2" borderId="38" xfId="22" applyNumberFormat="1" applyFont="1" applyFill="1" applyBorder="1" applyAlignment="1">
      <alignment vertical="center" wrapText="1"/>
    </xf>
    <xf numFmtId="1" fontId="15" fillId="7" borderId="1" xfId="22" quotePrefix="1" applyNumberFormat="1" applyFont="1" applyFill="1" applyBorder="1" applyAlignment="1">
      <alignment horizontal="center" vertical="center" wrapText="1"/>
    </xf>
    <xf numFmtId="43" fontId="0" fillId="0" borderId="54" xfId="0" applyNumberFormat="1" applyBorder="1"/>
    <xf numFmtId="43" fontId="5" fillId="0" borderId="1" xfId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1" fontId="15" fillId="0" borderId="1" xfId="22" quotePrefix="1" applyNumberFormat="1" applyFont="1" applyBorder="1" applyAlignment="1">
      <alignment horizontal="right" vertical="center" wrapText="1"/>
    </xf>
    <xf numFmtId="43" fontId="5" fillId="0" borderId="38" xfId="1" applyFont="1" applyFill="1" applyBorder="1" applyAlignment="1">
      <alignment horizontal="right" vertical="center"/>
    </xf>
    <xf numFmtId="43" fontId="42" fillId="0" borderId="0" xfId="1" applyFont="1" applyFill="1" applyAlignment="1">
      <alignment vertical="center"/>
    </xf>
    <xf numFmtId="0" fontId="15" fillId="2" borderId="71" xfId="0" applyFont="1" applyFill="1" applyBorder="1" applyAlignment="1">
      <alignment vertical="center"/>
    </xf>
    <xf numFmtId="0" fontId="15" fillId="0" borderId="80" xfId="0" applyFont="1" applyBorder="1" applyAlignment="1">
      <alignment vertical="center" wrapText="1"/>
    </xf>
    <xf numFmtId="1" fontId="15" fillId="0" borderId="86" xfId="22" applyNumberFormat="1" applyFont="1" applyBorder="1" applyAlignment="1">
      <alignment vertical="center" wrapText="1"/>
    </xf>
    <xf numFmtId="43" fontId="7" fillId="0" borderId="60" xfId="1" applyFont="1" applyFill="1" applyBorder="1" applyAlignment="1">
      <alignment horizontal="center" vertical="center" wrapText="1"/>
    </xf>
    <xf numFmtId="43" fontId="5" fillId="0" borderId="80" xfId="1" applyFont="1" applyFill="1" applyBorder="1" applyAlignment="1">
      <alignment horizontal="center" vertical="center" wrapText="1"/>
    </xf>
    <xf numFmtId="43" fontId="5" fillId="0" borderId="81" xfId="1" applyFont="1" applyFill="1" applyBorder="1" applyAlignment="1">
      <alignment horizontal="center" vertical="center" wrapText="1"/>
    </xf>
    <xf numFmtId="43" fontId="5" fillId="0" borderId="60" xfId="1" applyFont="1" applyFill="1" applyBorder="1" applyAlignment="1">
      <alignment horizontal="center" vertical="center" wrapText="1"/>
    </xf>
    <xf numFmtId="43" fontId="5" fillId="0" borderId="46" xfId="1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5" fillId="0" borderId="1" xfId="12" applyFont="1" applyBorder="1" applyAlignment="1">
      <alignment vertical="center"/>
    </xf>
    <xf numFmtId="0" fontId="15" fillId="0" borderId="1" xfId="12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right" vertical="center" wrapText="1"/>
    </xf>
    <xf numFmtId="0" fontId="15" fillId="2" borderId="1" xfId="12" applyFont="1" applyFill="1" applyBorder="1" applyAlignment="1">
      <alignment vertical="center"/>
    </xf>
    <xf numFmtId="0" fontId="15" fillId="0" borderId="64" xfId="12" applyFont="1" applyBorder="1" applyAlignment="1">
      <alignment vertical="center"/>
    </xf>
    <xf numFmtId="0" fontId="15" fillId="0" borderId="52" xfId="12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0" fontId="15" fillId="0" borderId="25" xfId="12" applyFont="1" applyBorder="1" applyAlignment="1">
      <alignment vertical="center"/>
    </xf>
    <xf numFmtId="4" fontId="15" fillId="0" borderId="65" xfId="22" applyNumberFormat="1" applyFont="1" applyBorder="1" applyAlignment="1">
      <alignment vertical="center" wrapText="1"/>
    </xf>
    <xf numFmtId="0" fontId="15" fillId="2" borderId="25" xfId="12" applyFont="1" applyFill="1" applyBorder="1" applyAlignment="1">
      <alignment vertical="center"/>
    </xf>
    <xf numFmtId="0" fontId="15" fillId="0" borderId="2" xfId="12" applyFont="1" applyBorder="1" applyAlignment="1">
      <alignment horizontal="center" vertical="center" wrapText="1"/>
    </xf>
    <xf numFmtId="0" fontId="15" fillId="0" borderId="1" xfId="26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vertical="center"/>
    </xf>
    <xf numFmtId="0" fontId="15" fillId="0" borderId="64" xfId="0" quotePrefix="1" applyFont="1" applyBorder="1" applyAlignment="1">
      <alignment vertical="center"/>
    </xf>
    <xf numFmtId="164" fontId="15" fillId="4" borderId="1" xfId="2" applyNumberFormat="1" applyFont="1" applyFill="1" applyBorder="1" applyAlignment="1">
      <alignment horizontal="center" vertical="center" wrapText="1"/>
    </xf>
    <xf numFmtId="164" fontId="7" fillId="4" borderId="1" xfId="2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0" xfId="0" applyFill="1"/>
    <xf numFmtId="173" fontId="0" fillId="0" borderId="0" xfId="0" applyNumberFormat="1"/>
    <xf numFmtId="0" fontId="44" fillId="0" borderId="0" xfId="0" applyFont="1" applyAlignment="1">
      <alignment horizontal="center" vertical="center"/>
    </xf>
    <xf numFmtId="164" fontId="7" fillId="0" borderId="9" xfId="2" applyNumberFormat="1" applyFont="1" applyFill="1" applyBorder="1" applyAlignment="1">
      <alignment horizontal="right" vertical="center" wrapText="1"/>
    </xf>
    <xf numFmtId="165" fontId="43" fillId="0" borderId="0" xfId="0" applyNumberFormat="1" applyFont="1" applyAlignment="1">
      <alignment horizontal="center" vertical="center"/>
    </xf>
    <xf numFmtId="0" fontId="15" fillId="2" borderId="78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  <xf numFmtId="0" fontId="33" fillId="4" borderId="25" xfId="0" applyFont="1" applyFill="1" applyBorder="1" applyAlignment="1">
      <alignment vertical="center"/>
    </xf>
    <xf numFmtId="0" fontId="33" fillId="4" borderId="58" xfId="0" quotePrefix="1" applyFont="1" applyFill="1" applyBorder="1" applyAlignment="1">
      <alignment vertical="center"/>
    </xf>
    <xf numFmtId="43" fontId="4" fillId="4" borderId="1" xfId="0" applyNumberFormat="1" applyFont="1" applyFill="1" applyBorder="1" applyAlignment="1">
      <alignment horizontal="center" vertical="center" wrapText="1"/>
    </xf>
    <xf numFmtId="43" fontId="4" fillId="4" borderId="1" xfId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vertical="center"/>
    </xf>
    <xf numFmtId="0" fontId="33" fillId="4" borderId="1" xfId="0" quotePrefix="1" applyFont="1" applyFill="1" applyBorder="1" applyAlignment="1">
      <alignment vertical="center"/>
    </xf>
    <xf numFmtId="0" fontId="15" fillId="0" borderId="25" xfId="22" quotePrefix="1" applyFont="1" applyBorder="1" applyAlignment="1">
      <alignment vertical="center" wrapText="1"/>
    </xf>
    <xf numFmtId="0" fontId="15" fillId="0" borderId="64" xfId="0" applyFont="1" applyBorder="1" applyAlignment="1" applyProtection="1">
      <alignment vertical="center" wrapText="1"/>
      <protection locked="0"/>
    </xf>
    <xf numFmtId="0" fontId="15" fillId="0" borderId="25" xfId="0" applyFont="1" applyBorder="1" applyAlignment="1" applyProtection="1">
      <alignment vertical="center" wrapText="1"/>
      <protection locked="0"/>
    </xf>
    <xf numFmtId="1" fontId="33" fillId="0" borderId="25" xfId="22" applyNumberFormat="1" applyFont="1" applyBorder="1" applyAlignment="1">
      <alignment vertical="center" wrapText="1"/>
    </xf>
    <xf numFmtId="0" fontId="15" fillId="2" borderId="1" xfId="22" quotePrefix="1" applyFont="1" applyFill="1" applyBorder="1" applyAlignment="1">
      <alignment vertical="center" wrapText="1"/>
    </xf>
    <xf numFmtId="1" fontId="33" fillId="4" borderId="25" xfId="22" applyNumberFormat="1" applyFont="1" applyFill="1" applyBorder="1" applyAlignment="1">
      <alignment vertical="center" wrapText="1"/>
    </xf>
    <xf numFmtId="11" fontId="15" fillId="4" borderId="58" xfId="0" applyNumberFormat="1" applyFont="1" applyFill="1" applyBorder="1" applyAlignment="1">
      <alignment vertical="center" wrapText="1"/>
    </xf>
    <xf numFmtId="0" fontId="27" fillId="0" borderId="1" xfId="22" quotePrefix="1" applyFont="1" applyBorder="1" applyAlignment="1">
      <alignment horizontal="center" vertical="center" wrapText="1"/>
    </xf>
    <xf numFmtId="1" fontId="33" fillId="2" borderId="25" xfId="22" applyNumberFormat="1" applyFont="1" applyFill="1" applyBorder="1" applyAlignment="1">
      <alignment vertical="center" wrapText="1"/>
    </xf>
    <xf numFmtId="0" fontId="15" fillId="0" borderId="65" xfId="0" quotePrefix="1" applyFont="1" applyBorder="1" applyAlignment="1">
      <alignment horizontal="right" vertical="center"/>
    </xf>
    <xf numFmtId="1" fontId="33" fillId="0" borderId="64" xfId="0" applyNumberFormat="1" applyFont="1" applyBorder="1" applyAlignment="1">
      <alignment vertical="center"/>
    </xf>
    <xf numFmtId="0" fontId="15" fillId="2" borderId="25" xfId="22" quotePrefix="1" applyFont="1" applyFill="1" applyBorder="1" applyAlignment="1">
      <alignment horizontal="right" vertical="center" wrapText="1"/>
    </xf>
    <xf numFmtId="1" fontId="33" fillId="0" borderId="64" xfId="22" applyNumberFormat="1" applyFont="1" applyBorder="1" applyAlignment="1">
      <alignment vertical="center" wrapText="1"/>
    </xf>
    <xf numFmtId="0" fontId="33" fillId="0" borderId="25" xfId="0" applyFont="1" applyBorder="1" applyAlignment="1">
      <alignment vertical="center" wrapText="1"/>
    </xf>
    <xf numFmtId="43" fontId="15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0" fontId="33" fillId="0" borderId="64" xfId="0" applyFont="1" applyBorder="1" applyAlignment="1">
      <alignment vertical="center" wrapText="1"/>
    </xf>
    <xf numFmtId="0" fontId="33" fillId="7" borderId="1" xfId="0" applyFont="1" applyFill="1" applyBorder="1" applyAlignment="1">
      <alignment vertical="center"/>
    </xf>
    <xf numFmtId="0" fontId="33" fillId="7" borderId="1" xfId="6" applyFont="1" applyFill="1" applyBorder="1" applyAlignment="1">
      <alignment vertical="center"/>
    </xf>
    <xf numFmtId="0" fontId="45" fillId="0" borderId="25" xfId="0" applyFont="1" applyBorder="1" applyAlignment="1">
      <alignment horizontal="center" vertical="center" wrapText="1"/>
    </xf>
    <xf numFmtId="0" fontId="27" fillId="0" borderId="1" xfId="22" quotePrefix="1" applyFont="1" applyBorder="1" applyAlignment="1">
      <alignment horizontal="center" vertical="center"/>
    </xf>
    <xf numFmtId="1" fontId="33" fillId="7" borderId="1" xfId="22" applyNumberFormat="1" applyFont="1" applyFill="1" applyBorder="1" applyAlignment="1">
      <alignment vertical="center" wrapText="1"/>
    </xf>
    <xf numFmtId="0" fontId="15" fillId="0" borderId="1" xfId="22" quotePrefix="1" applyFont="1" applyBorder="1" applyAlignment="1">
      <alignment horizontal="right" vertical="center" wrapText="1"/>
    </xf>
    <xf numFmtId="17" fontId="0" fillId="0" borderId="0" xfId="0" quotePrefix="1" applyNumberFormat="1"/>
    <xf numFmtId="0" fontId="0" fillId="0" borderId="0" xfId="0" quotePrefix="1"/>
    <xf numFmtId="0" fontId="33" fillId="0" borderId="64" xfId="0" quotePrefix="1" applyFont="1" applyBorder="1" applyAlignment="1">
      <alignment vertical="center"/>
    </xf>
    <xf numFmtId="43" fontId="25" fillId="9" borderId="1" xfId="0" applyNumberFormat="1" applyFont="1" applyFill="1" applyBorder="1" applyAlignment="1">
      <alignment horizontal="center" vertical="center" wrapText="1"/>
    </xf>
    <xf numFmtId="1" fontId="15" fillId="8" borderId="6" xfId="0" applyNumberFormat="1" applyFont="1" applyFill="1" applyBorder="1" applyAlignment="1" applyProtection="1">
      <alignment vertical="center" wrapText="1"/>
      <protection locked="0"/>
    </xf>
    <xf numFmtId="1" fontId="15" fillId="8" borderId="6" xfId="0" quotePrefix="1" applyNumberFormat="1" applyFont="1" applyFill="1" applyBorder="1" applyAlignment="1" applyProtection="1">
      <alignment vertical="center" wrapText="1"/>
      <protection locked="0"/>
    </xf>
    <xf numFmtId="0" fontId="15" fillId="0" borderId="6" xfId="0" applyFont="1" applyBorder="1" applyAlignment="1" applyProtection="1">
      <alignment vertical="center" wrapText="1"/>
      <protection locked="0"/>
    </xf>
    <xf numFmtId="1" fontId="15" fillId="0" borderId="6" xfId="0" applyNumberFormat="1" applyFont="1" applyBorder="1" applyAlignment="1" applyProtection="1">
      <alignment vertical="center" wrapText="1"/>
      <protection locked="0"/>
    </xf>
    <xf numFmtId="1" fontId="15" fillId="0" borderId="67" xfId="0" applyNumberFormat="1" applyFont="1" applyBorder="1" applyAlignment="1" applyProtection="1">
      <alignment vertical="center" wrapText="1"/>
      <protection locked="0"/>
    </xf>
    <xf numFmtId="1" fontId="15" fillId="0" borderId="1" xfId="22" applyNumberFormat="1" applyFont="1" applyBorder="1" applyAlignment="1" applyProtection="1">
      <alignment vertical="center" wrapText="1"/>
      <protection locked="0"/>
    </xf>
    <xf numFmtId="1" fontId="15" fillId="0" borderId="9" xfId="22" applyNumberFormat="1" applyFont="1" applyBorder="1" applyAlignment="1" applyProtection="1">
      <alignment vertical="center" wrapText="1"/>
      <protection locked="0"/>
    </xf>
    <xf numFmtId="43" fontId="7" fillId="6" borderId="1" xfId="1" applyFont="1" applyFill="1" applyBorder="1" applyAlignment="1">
      <alignment horizontal="center" vertical="center" wrapText="1"/>
    </xf>
    <xf numFmtId="43" fontId="7" fillId="6" borderId="76" xfId="1" applyFont="1" applyFill="1" applyBorder="1" applyAlignment="1">
      <alignment horizontal="center" vertical="center" wrapText="1"/>
    </xf>
    <xf numFmtId="0" fontId="2" fillId="0" borderId="87" xfId="0" applyFont="1" applyBorder="1"/>
    <xf numFmtId="43" fontId="39" fillId="6" borderId="1" xfId="22" applyNumberFormat="1" applyFont="1" applyFill="1" applyBorder="1" applyAlignment="1">
      <alignment horizontal="center" vertical="center" wrapText="1"/>
    </xf>
    <xf numFmtId="43" fontId="7" fillId="4" borderId="1" xfId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/>
    </xf>
    <xf numFmtId="43" fontId="4" fillId="0" borderId="26" xfId="1" applyFont="1" applyBorder="1" applyAlignment="1">
      <alignment vertical="center"/>
    </xf>
    <xf numFmtId="0" fontId="15" fillId="9" borderId="1" xfId="0" applyFont="1" applyFill="1" applyBorder="1" applyAlignment="1">
      <alignment vertical="center"/>
    </xf>
    <xf numFmtId="0" fontId="15" fillId="0" borderId="25" xfId="0" applyFont="1" applyBorder="1" applyAlignment="1">
      <alignment horizontal="center" vertical="center" wrapText="1"/>
    </xf>
    <xf numFmtId="1" fontId="15" fillId="0" borderId="25" xfId="22" applyNumberFormat="1" applyFont="1" applyBorder="1" applyAlignment="1">
      <alignment horizontal="center" vertical="center" wrapText="1"/>
    </xf>
    <xf numFmtId="1" fontId="15" fillId="2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5" fillId="10" borderId="64" xfId="0" applyFont="1" applyFill="1" applyBorder="1" applyAlignment="1">
      <alignment vertical="center"/>
    </xf>
    <xf numFmtId="0" fontId="15" fillId="10" borderId="25" xfId="0" applyFont="1" applyFill="1" applyBorder="1" applyAlignment="1">
      <alignment vertical="center"/>
    </xf>
    <xf numFmtId="0" fontId="15" fillId="11" borderId="25" xfId="0" applyFont="1" applyFill="1" applyBorder="1" applyAlignment="1">
      <alignment vertical="center"/>
    </xf>
    <xf numFmtId="0" fontId="15" fillId="10" borderId="58" xfId="0" applyFont="1" applyFill="1" applyBorder="1" applyAlignment="1">
      <alignment vertical="center"/>
    </xf>
    <xf numFmtId="0" fontId="15" fillId="10" borderId="18" xfId="0" applyFont="1" applyFill="1" applyBorder="1" applyAlignment="1">
      <alignment vertical="center"/>
    </xf>
    <xf numFmtId="0" fontId="15" fillId="10" borderId="68" xfId="0" applyFont="1" applyFill="1" applyBorder="1" applyAlignment="1">
      <alignment vertical="center"/>
    </xf>
    <xf numFmtId="0" fontId="27" fillId="10" borderId="1" xfId="0" applyFont="1" applyFill="1" applyBorder="1" applyAlignment="1">
      <alignment horizontal="center" vertical="center"/>
    </xf>
    <xf numFmtId="49" fontId="27" fillId="10" borderId="1" xfId="0" applyNumberFormat="1" applyFont="1" applyFill="1" applyBorder="1" applyAlignment="1">
      <alignment horizontal="center" vertical="center"/>
    </xf>
    <xf numFmtId="0" fontId="15" fillId="10" borderId="70" xfId="0" applyFont="1" applyFill="1" applyBorder="1" applyAlignment="1">
      <alignment vertical="center"/>
    </xf>
    <xf numFmtId="49" fontId="0" fillId="0" borderId="0" xfId="0" applyNumberFormat="1"/>
    <xf numFmtId="49" fontId="5" fillId="0" borderId="1" xfId="0" applyNumberFormat="1" applyFont="1" applyBorder="1" applyAlignment="1">
      <alignment vertical="center"/>
    </xf>
    <xf numFmtId="49" fontId="5" fillId="0" borderId="58" xfId="0" quotePrefix="1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1" fontId="15" fillId="0" borderId="64" xfId="22" applyNumberFormat="1" applyFont="1" applyBorder="1" applyAlignment="1">
      <alignment horizontal="center" vertical="center" wrapText="1"/>
    </xf>
    <xf numFmtId="1" fontId="15" fillId="2" borderId="25" xfId="22" applyNumberFormat="1" applyFont="1" applyFill="1" applyBorder="1" applyAlignment="1">
      <alignment horizontal="center" vertical="center" wrapText="1"/>
    </xf>
    <xf numFmtId="1" fontId="33" fillId="4" borderId="25" xfId="22" applyNumberFormat="1" applyFont="1" applyFill="1" applyBorder="1" applyAlignment="1">
      <alignment horizontal="center" vertical="center" wrapText="1"/>
    </xf>
    <xf numFmtId="1" fontId="33" fillId="0" borderId="25" xfId="22" applyNumberFormat="1" applyFont="1" applyBorder="1" applyAlignment="1">
      <alignment horizontal="center" vertical="center" wrapText="1"/>
    </xf>
    <xf numFmtId="0" fontId="15" fillId="0" borderId="42" xfId="22" applyFont="1" applyBorder="1" applyAlignment="1">
      <alignment horizontal="center" vertical="center" wrapText="1"/>
    </xf>
    <xf numFmtId="0" fontId="15" fillId="10" borderId="64" xfId="0" applyFont="1" applyFill="1" applyBorder="1" applyAlignment="1">
      <alignment horizontal="center" vertical="center"/>
    </xf>
    <xf numFmtId="0" fontId="15" fillId="10" borderId="25" xfId="0" applyFont="1" applyFill="1" applyBorder="1" applyAlignment="1">
      <alignment horizontal="center" vertical="center"/>
    </xf>
    <xf numFmtId="0" fontId="15" fillId="10" borderId="25" xfId="22" applyFont="1" applyFill="1" applyBorder="1" applyAlignment="1">
      <alignment horizontal="center" vertical="center"/>
    </xf>
    <xf numFmtId="0" fontId="15" fillId="10" borderId="65" xfId="22" applyFont="1" applyFill="1" applyBorder="1" applyAlignment="1">
      <alignment horizontal="center" vertical="center"/>
    </xf>
    <xf numFmtId="0" fontId="15" fillId="10" borderId="1" xfId="22" applyFont="1" applyFill="1" applyBorder="1" applyAlignment="1">
      <alignment horizontal="center" vertical="center"/>
    </xf>
    <xf numFmtId="1" fontId="27" fillId="10" borderId="1" xfId="22" quotePrefix="1" applyNumberFormat="1" applyFont="1" applyFill="1" applyBorder="1" applyAlignment="1">
      <alignment horizontal="center" vertical="center" wrapText="1"/>
    </xf>
    <xf numFmtId="0" fontId="5" fillId="0" borderId="0" xfId="0" quotePrefix="1" applyFont="1" applyAlignment="1">
      <alignment vertical="center" wrapText="1"/>
    </xf>
    <xf numFmtId="0" fontId="0" fillId="0" borderId="25" xfId="0" applyBorder="1"/>
    <xf numFmtId="0" fontId="15" fillId="0" borderId="25" xfId="2" applyFont="1" applyFill="1" applyBorder="1" applyAlignment="1">
      <alignment horizontal="center" vertical="center" wrapText="1"/>
    </xf>
    <xf numFmtId="0" fontId="15" fillId="0" borderId="25" xfId="2" applyFont="1" applyFill="1" applyBorder="1" applyAlignment="1">
      <alignment vertical="center" wrapText="1"/>
    </xf>
    <xf numFmtId="43" fontId="7" fillId="0" borderId="25" xfId="1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70" fontId="16" fillId="0" borderId="45" xfId="1" applyNumberFormat="1" applyFont="1" applyBorder="1" applyAlignment="1">
      <alignment horizontal="center" vertical="center"/>
    </xf>
    <xf numFmtId="43" fontId="7" fillId="4" borderId="25" xfId="1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right"/>
    </xf>
    <xf numFmtId="4" fontId="2" fillId="0" borderId="88" xfId="0" applyNumberFormat="1" applyFont="1" applyBorder="1"/>
    <xf numFmtId="0" fontId="15" fillId="2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43" fontId="19" fillId="0" borderId="0" xfId="0" applyNumberFormat="1" applyFont="1"/>
    <xf numFmtId="43" fontId="15" fillId="9" borderId="1" xfId="1" applyFont="1" applyFill="1" applyBorder="1" applyAlignment="1">
      <alignment horizontal="center" vertical="center" wrapText="1"/>
    </xf>
    <xf numFmtId="0" fontId="2" fillId="12" borderId="88" xfId="0" applyFont="1" applyFill="1" applyBorder="1"/>
    <xf numFmtId="43" fontId="4" fillId="6" borderId="0" xfId="0" applyNumberFormat="1" applyFont="1" applyFill="1" applyAlignment="1">
      <alignment horizontal="center" vertical="center"/>
    </xf>
    <xf numFmtId="170" fontId="2" fillId="12" borderId="88" xfId="0" applyNumberFormat="1" applyFont="1" applyFill="1" applyBorder="1"/>
    <xf numFmtId="0" fontId="4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/>
    </xf>
    <xf numFmtId="169" fontId="2" fillId="0" borderId="49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9" fillId="0" borderId="14" xfId="2" applyFont="1" applyFill="1" applyBorder="1" applyAlignment="1">
      <alignment horizontal="center" vertical="center" wrapText="1"/>
    </xf>
    <xf numFmtId="0" fontId="9" fillId="0" borderId="30" xfId="2" applyFont="1" applyFill="1" applyBorder="1" applyAlignment="1">
      <alignment horizontal="center" vertical="center" wrapText="1"/>
    </xf>
    <xf numFmtId="164" fontId="7" fillId="0" borderId="14" xfId="2" applyNumberFormat="1" applyFont="1" applyFill="1" applyBorder="1" applyAlignment="1">
      <alignment horizontal="right" vertical="center" wrapText="1"/>
    </xf>
    <xf numFmtId="164" fontId="7" fillId="0" borderId="30" xfId="2" applyNumberFormat="1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30" xfId="2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164" fontId="16" fillId="0" borderId="28" xfId="1" quotePrefix="1" applyNumberFormat="1" applyFont="1" applyFill="1" applyBorder="1" applyAlignment="1">
      <alignment horizontal="center" vertical="center" wrapText="1"/>
    </xf>
    <xf numFmtId="164" fontId="16" fillId="0" borderId="15" xfId="1" quotePrefix="1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43" fontId="7" fillId="0" borderId="14" xfId="1" applyFont="1" applyFill="1" applyBorder="1" applyAlignment="1">
      <alignment horizontal="center" vertical="center" wrapText="1"/>
    </xf>
    <xf numFmtId="43" fontId="7" fillId="0" borderId="30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43" fontId="5" fillId="0" borderId="18" xfId="1" quotePrefix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0" fontId="4" fillId="0" borderId="25" xfId="1" applyNumberFormat="1" applyFont="1" applyFill="1" applyBorder="1" applyAlignment="1">
      <alignment horizontal="center" vertical="center" wrapText="1"/>
    </xf>
    <xf numFmtId="0" fontId="4" fillId="0" borderId="23" xfId="1" applyNumberFormat="1" applyFont="1" applyFill="1" applyBorder="1" applyAlignment="1">
      <alignment horizontal="center" vertical="center" wrapText="1"/>
    </xf>
    <xf numFmtId="4" fontId="7" fillId="0" borderId="1" xfId="2" applyNumberFormat="1" applyFont="1" applyFill="1" applyBorder="1" applyAlignment="1">
      <alignment horizontal="center" vertical="center" wrapText="1"/>
    </xf>
    <xf numFmtId="43" fontId="4" fillId="2" borderId="25" xfId="1" applyFont="1" applyFill="1" applyBorder="1" applyAlignment="1">
      <alignment horizontal="center" vertical="center" wrapText="1"/>
    </xf>
    <xf numFmtId="43" fontId="4" fillId="2" borderId="23" xfId="1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3" fontId="4" fillId="0" borderId="25" xfId="0" applyNumberFormat="1" applyFont="1" applyBorder="1" applyAlignment="1">
      <alignment horizontal="center" vertical="center" wrapText="1"/>
    </xf>
    <xf numFmtId="43" fontId="4" fillId="0" borderId="23" xfId="0" applyNumberFormat="1" applyFont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43" fontId="24" fillId="2" borderId="1" xfId="0" applyNumberFormat="1" applyFont="1" applyFill="1" applyBorder="1" applyAlignment="1">
      <alignment horizontal="center" vertical="center" wrapText="1"/>
    </xf>
    <xf numFmtId="164" fontId="4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25" xfId="2" applyFont="1" applyFill="1" applyBorder="1" applyAlignment="1">
      <alignment horizontal="center" vertical="center" wrapText="1"/>
    </xf>
    <xf numFmtId="43" fontId="7" fillId="0" borderId="25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43" fontId="7" fillId="0" borderId="25" xfId="1" applyFont="1" applyFill="1" applyBorder="1" applyAlignment="1" applyProtection="1">
      <alignment horizontal="center" vertical="center" wrapText="1"/>
      <protection locked="0"/>
    </xf>
    <xf numFmtId="43" fontId="7" fillId="0" borderId="23" xfId="1" applyFont="1" applyFill="1" applyBorder="1" applyAlignment="1" applyProtection="1">
      <alignment horizontal="center" vertical="center" wrapText="1"/>
      <protection locked="0"/>
    </xf>
    <xf numFmtId="1" fontId="15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43" fontId="7" fillId="0" borderId="1" xfId="1" applyFont="1" applyFill="1" applyBorder="1" applyAlignment="1" applyProtection="1">
      <alignment horizontal="center" vertical="center" wrapText="1"/>
      <protection locked="0"/>
    </xf>
    <xf numFmtId="1" fontId="1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1" fontId="15" fillId="0" borderId="1" xfId="22" applyNumberFormat="1" applyFont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1" fontId="15" fillId="2" borderId="1" xfId="22" applyNumberFormat="1" applyFont="1" applyFill="1" applyBorder="1" applyAlignment="1" applyProtection="1">
      <alignment horizontal="center" vertical="center" wrapText="1"/>
      <protection locked="0"/>
    </xf>
    <xf numFmtId="0" fontId="15" fillId="0" borderId="58" xfId="0" applyFont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1" fontId="15" fillId="0" borderId="1" xfId="22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74" xfId="0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7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7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44" fontId="15" fillId="0" borderId="6" xfId="21" applyFont="1" applyFill="1" applyBorder="1" applyAlignment="1" applyProtection="1">
      <alignment horizontal="center" vertical="center" wrapText="1"/>
    </xf>
    <xf numFmtId="171" fontId="31" fillId="0" borderId="1" xfId="22" applyNumberFormat="1" applyFont="1" applyBorder="1" applyAlignment="1" applyProtection="1">
      <alignment horizontal="center" vertical="center" wrapText="1"/>
      <protection locked="0"/>
    </xf>
    <xf numFmtId="43" fontId="7" fillId="0" borderId="7" xfId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71" fontId="15" fillId="0" borderId="1" xfId="22" applyNumberFormat="1" applyFont="1" applyBorder="1" applyAlignment="1" applyProtection="1">
      <alignment horizontal="center" vertical="center" wrapText="1"/>
      <protection locked="0"/>
    </xf>
    <xf numFmtId="43" fontId="33" fillId="0" borderId="25" xfId="0" applyNumberFormat="1" applyFont="1" applyBorder="1" applyAlignment="1">
      <alignment horizontal="center" vertical="center" wrapText="1"/>
    </xf>
    <xf numFmtId="43" fontId="33" fillId="0" borderId="23" xfId="0" applyNumberFormat="1" applyFont="1" applyBorder="1" applyAlignment="1">
      <alignment horizontal="center" vertical="center" wrapText="1"/>
    </xf>
    <xf numFmtId="1" fontId="15" fillId="0" borderId="6" xfId="22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43" fontId="33" fillId="0" borderId="1" xfId="0" applyNumberFormat="1" applyFont="1" applyBorder="1" applyAlignment="1">
      <alignment horizontal="center" vertical="center" wrapText="1"/>
    </xf>
    <xf numFmtId="1" fontId="15" fillId="0" borderId="1" xfId="0" quotePrefix="1" applyNumberFormat="1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1" fontId="15" fillId="0" borderId="25" xfId="22" applyNumberFormat="1" applyFont="1" applyBorder="1" applyAlignment="1">
      <alignment horizontal="center" vertical="center" wrapText="1"/>
    </xf>
    <xf numFmtId="1" fontId="15" fillId="0" borderId="23" xfId="22" applyNumberFormat="1" applyFont="1" applyBorder="1" applyAlignment="1">
      <alignment horizontal="center" vertical="center" wrapText="1"/>
    </xf>
    <xf numFmtId="43" fontId="7" fillId="0" borderId="23" xfId="1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171" fontId="15" fillId="0" borderId="25" xfId="22" applyNumberFormat="1" applyFont="1" applyBorder="1" applyAlignment="1">
      <alignment horizontal="center" vertical="center" wrapText="1"/>
    </xf>
    <xf numFmtId="171" fontId="15" fillId="0" borderId="23" xfId="22" applyNumberFormat="1" applyFont="1" applyBorder="1" applyAlignment="1">
      <alignment horizontal="center" vertical="center" wrapText="1"/>
    </xf>
    <xf numFmtId="0" fontId="15" fillId="0" borderId="25" xfId="22" applyFont="1" applyBorder="1" applyAlignment="1">
      <alignment horizontal="center" vertical="center" wrapText="1"/>
    </xf>
    <xf numFmtId="0" fontId="15" fillId="0" borderId="23" xfId="22" applyFont="1" applyBorder="1" applyAlignment="1">
      <alignment horizontal="center" vertical="center" wrapText="1"/>
    </xf>
    <xf numFmtId="0" fontId="15" fillId="0" borderId="1" xfId="22" applyFont="1" applyBorder="1" applyAlignment="1">
      <alignment horizontal="center" vertical="center" wrapText="1"/>
    </xf>
    <xf numFmtId="43" fontId="4" fillId="0" borderId="1" xfId="1" quotePrefix="1" applyFont="1" applyFill="1" applyBorder="1" applyAlignment="1">
      <alignment horizontal="center" vertical="center" wrapText="1"/>
    </xf>
    <xf numFmtId="43" fontId="4" fillId="0" borderId="25" xfId="1" quotePrefix="1" applyFont="1" applyFill="1" applyBorder="1" applyAlignment="1">
      <alignment horizontal="center" vertical="center" wrapText="1"/>
    </xf>
    <xf numFmtId="1" fontId="37" fillId="0" borderId="1" xfId="2" applyNumberFormat="1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43" fontId="4" fillId="0" borderId="25" xfId="1" applyFont="1" applyBorder="1" applyAlignment="1">
      <alignment horizontal="center" vertical="center"/>
    </xf>
    <xf numFmtId="43" fontId="4" fillId="0" borderId="23" xfId="1" applyFont="1" applyBorder="1" applyAlignment="1">
      <alignment horizontal="center" vertical="center"/>
    </xf>
    <xf numFmtId="43" fontId="15" fillId="0" borderId="1" xfId="1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43" fontId="4" fillId="3" borderId="10" xfId="1" applyFont="1" applyFill="1" applyBorder="1" applyAlignment="1">
      <alignment horizontal="center" vertical="center" wrapText="1"/>
    </xf>
    <xf numFmtId="43" fontId="4" fillId="3" borderId="42" xfId="1" applyFont="1" applyFill="1" applyBorder="1" applyAlignment="1">
      <alignment horizontal="center" vertical="center"/>
    </xf>
    <xf numFmtId="43" fontId="4" fillId="3" borderId="14" xfId="1" applyFont="1" applyFill="1" applyBorder="1" applyAlignment="1">
      <alignment horizontal="center" vertical="center" wrapText="1"/>
    </xf>
    <xf numFmtId="43" fontId="4" fillId="3" borderId="40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/>
    </xf>
    <xf numFmtId="43" fontId="4" fillId="0" borderId="28" xfId="1" applyFont="1" applyBorder="1" applyAlignment="1">
      <alignment horizontal="center" vertical="center"/>
    </xf>
    <xf numFmtId="43" fontId="4" fillId="0" borderId="30" xfId="1" applyFont="1" applyBorder="1" applyAlignment="1">
      <alignment horizontal="center" vertical="center"/>
    </xf>
    <xf numFmtId="43" fontId="4" fillId="3" borderId="5" xfId="1" applyFont="1" applyFill="1" applyBorder="1" applyAlignment="1">
      <alignment horizontal="center" vertical="center" wrapText="1"/>
    </xf>
    <xf numFmtId="171" fontId="15" fillId="0" borderId="1" xfId="22" applyNumberFormat="1" applyFont="1" applyBorder="1" applyAlignment="1">
      <alignment horizontal="center" vertical="center" wrapText="1"/>
    </xf>
    <xf numFmtId="172" fontId="15" fillId="0" borderId="1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3" fontId="39" fillId="0" borderId="25" xfId="22" applyNumberFormat="1" applyFont="1" applyBorder="1" applyAlignment="1">
      <alignment horizontal="center" vertical="center" wrapText="1"/>
    </xf>
    <xf numFmtId="43" fontId="39" fillId="0" borderId="23" xfId="22" applyNumberFormat="1" applyFont="1" applyBorder="1" applyAlignment="1">
      <alignment horizontal="center" vertical="center" wrapText="1"/>
    </xf>
    <xf numFmtId="0" fontId="15" fillId="2" borderId="1" xfId="22" applyFont="1" applyFill="1" applyBorder="1" applyAlignment="1">
      <alignment horizontal="center" vertical="center" wrapText="1"/>
    </xf>
    <xf numFmtId="1" fontId="15" fillId="0" borderId="24" xfId="22" applyNumberFormat="1" applyFont="1" applyBorder="1" applyAlignment="1">
      <alignment horizontal="center" vertical="center" wrapText="1"/>
    </xf>
    <xf numFmtId="1" fontId="15" fillId="0" borderId="39" xfId="22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 wrapText="1"/>
    </xf>
    <xf numFmtId="1" fontId="15" fillId="0" borderId="23" xfId="0" applyNumberFormat="1" applyFont="1" applyBorder="1" applyAlignment="1">
      <alignment horizontal="center" vertical="center" wrapText="1"/>
    </xf>
    <xf numFmtId="43" fontId="7" fillId="0" borderId="27" xfId="1" applyFont="1" applyFill="1" applyBorder="1" applyAlignment="1">
      <alignment horizontal="center" vertical="center" wrapText="1"/>
    </xf>
    <xf numFmtId="43" fontId="7" fillId="0" borderId="32" xfId="1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" fontId="15" fillId="2" borderId="24" xfId="22" applyNumberFormat="1" applyFont="1" applyFill="1" applyBorder="1" applyAlignment="1">
      <alignment horizontal="center" vertical="center" wrapText="1"/>
    </xf>
    <xf numFmtId="1" fontId="15" fillId="2" borderId="39" xfId="22" applyNumberFormat="1" applyFont="1" applyFill="1" applyBorder="1" applyAlignment="1">
      <alignment horizontal="center" vertical="center" wrapText="1"/>
    </xf>
    <xf numFmtId="1" fontId="15" fillId="2" borderId="25" xfId="0" applyNumberFormat="1" applyFont="1" applyFill="1" applyBorder="1" applyAlignment="1">
      <alignment horizontal="center" vertical="center" wrapText="1"/>
    </xf>
    <xf numFmtId="1" fontId="15" fillId="2" borderId="23" xfId="0" applyNumberFormat="1" applyFont="1" applyFill="1" applyBorder="1" applyAlignment="1">
      <alignment horizontal="center" vertical="center" wrapText="1"/>
    </xf>
    <xf numFmtId="43" fontId="5" fillId="0" borderId="25" xfId="1" quotePrefix="1" applyFont="1" applyFill="1" applyBorder="1" applyAlignment="1">
      <alignment horizontal="center" vertical="center" wrapText="1"/>
    </xf>
    <xf numFmtId="43" fontId="5" fillId="0" borderId="23" xfId="1" quotePrefix="1" applyFont="1" applyFill="1" applyBorder="1" applyAlignment="1">
      <alignment horizontal="center" vertical="center" wrapText="1"/>
    </xf>
    <xf numFmtId="0" fontId="4" fillId="3" borderId="73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1" fontId="15" fillId="2" borderId="1" xfId="22" applyNumberFormat="1" applyFont="1" applyFill="1" applyBorder="1" applyAlignment="1">
      <alignment horizontal="center" vertical="center" wrapText="1"/>
    </xf>
    <xf numFmtId="1" fontId="40" fillId="2" borderId="1" xfId="22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15" fillId="0" borderId="1" xfId="26" applyFont="1" applyBorder="1" applyAlignment="1">
      <alignment horizontal="center" vertical="center" wrapText="1"/>
    </xf>
    <xf numFmtId="4" fontId="15" fillId="0" borderId="1" xfId="22" applyNumberFormat="1" applyFont="1" applyBorder="1" applyAlignment="1">
      <alignment horizontal="center" vertical="center" wrapText="1"/>
    </xf>
  </cellXfs>
  <cellStyles count="27">
    <cellStyle name="_x000b_À_x000d__x0014__x0016_À_x0018__x001a_À_x001d_" xfId="3"/>
    <cellStyle name="Estilo 1" xfId="4"/>
    <cellStyle name="Euro" xfId="5"/>
    <cellStyle name="Excel Built-in Normal" xfId="6"/>
    <cellStyle name="Hipervínculo" xfId="2" builtinId="8"/>
    <cellStyle name="Millares" xfId="1" builtinId="3"/>
    <cellStyle name="Millares 2" xfId="7"/>
    <cellStyle name="Millares 2 2" xfId="8"/>
    <cellStyle name="Millares 3" xfId="9"/>
    <cellStyle name="Millares 3 2" xfId="24"/>
    <cellStyle name="Millares 4" xfId="10"/>
    <cellStyle name="Millares 5" xfId="25"/>
    <cellStyle name="Moneda" xfId="21" builtinId="4"/>
    <cellStyle name="Normal" xfId="0" builtinId="0"/>
    <cellStyle name="Normal 2" xfId="11"/>
    <cellStyle name="Normal 2 2" xfId="12"/>
    <cellStyle name="Normal 2 3" xfId="13"/>
    <cellStyle name="Normal 3" xfId="14"/>
    <cellStyle name="Normal 4" xfId="15"/>
    <cellStyle name="Normal 5" xfId="16"/>
    <cellStyle name="Normal 6" xfId="17"/>
    <cellStyle name="Normal 7" xfId="18"/>
    <cellStyle name="Normal_Copia de Formato NVOS ARREND" xfId="23"/>
    <cellStyle name="Normal_Formato Resultados Delegacionales" xfId="26"/>
    <cellStyle name="Normal_Proyeccion_2004_con_renta_2003" xfId="22"/>
    <cellStyle name="Porcentual 2" xfId="19"/>
    <cellStyle name="Porcentual 3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1.xml"/><Relationship Id="rId89" Type="http://schemas.openxmlformats.org/officeDocument/2006/relationships/externalLink" Target="externalLinks/externalLink16.xml"/><Relationship Id="rId112" Type="http://schemas.openxmlformats.org/officeDocument/2006/relationships/externalLink" Target="externalLinks/externalLink3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externalLink" Target="externalLinks/externalLink1.xml"/><Relationship Id="rId79" Type="http://schemas.openxmlformats.org/officeDocument/2006/relationships/externalLink" Target="externalLinks/externalLink6.xml"/><Relationship Id="rId87" Type="http://schemas.openxmlformats.org/officeDocument/2006/relationships/externalLink" Target="externalLinks/externalLink14.xml"/><Relationship Id="rId102" Type="http://schemas.openxmlformats.org/officeDocument/2006/relationships/externalLink" Target="externalLinks/externalLink29.xml"/><Relationship Id="rId110" Type="http://schemas.openxmlformats.org/officeDocument/2006/relationships/externalLink" Target="externalLinks/externalLink37.xml"/><Relationship Id="rId115" Type="http://schemas.openxmlformats.org/officeDocument/2006/relationships/externalLink" Target="externalLinks/externalLink4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9.xml"/><Relationship Id="rId90" Type="http://schemas.openxmlformats.org/officeDocument/2006/relationships/externalLink" Target="externalLinks/externalLink17.xml"/><Relationship Id="rId95" Type="http://schemas.openxmlformats.org/officeDocument/2006/relationships/externalLink" Target="externalLinks/externalLink2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externalLink" Target="externalLinks/externalLink4.xml"/><Relationship Id="rId100" Type="http://schemas.openxmlformats.org/officeDocument/2006/relationships/externalLink" Target="externalLinks/externalLink27.xml"/><Relationship Id="rId105" Type="http://schemas.openxmlformats.org/officeDocument/2006/relationships/externalLink" Target="externalLinks/externalLink32.xml"/><Relationship Id="rId113" Type="http://schemas.openxmlformats.org/officeDocument/2006/relationships/externalLink" Target="externalLinks/externalLink40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7.xml"/><Relationship Id="rId85" Type="http://schemas.openxmlformats.org/officeDocument/2006/relationships/externalLink" Target="externalLinks/externalLink12.xml"/><Relationship Id="rId93" Type="http://schemas.openxmlformats.org/officeDocument/2006/relationships/externalLink" Target="externalLinks/externalLink20.xml"/><Relationship Id="rId98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30.xml"/><Relationship Id="rId108" Type="http://schemas.openxmlformats.org/officeDocument/2006/relationships/externalLink" Target="externalLinks/externalLink35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2.xml"/><Relationship Id="rId83" Type="http://schemas.openxmlformats.org/officeDocument/2006/relationships/externalLink" Target="externalLinks/externalLink10.xml"/><Relationship Id="rId88" Type="http://schemas.openxmlformats.org/officeDocument/2006/relationships/externalLink" Target="externalLinks/externalLink15.xml"/><Relationship Id="rId91" Type="http://schemas.openxmlformats.org/officeDocument/2006/relationships/externalLink" Target="externalLinks/externalLink18.xml"/><Relationship Id="rId96" Type="http://schemas.openxmlformats.org/officeDocument/2006/relationships/externalLink" Target="externalLinks/externalLink23.xml"/><Relationship Id="rId11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3.xml"/><Relationship Id="rId114" Type="http://schemas.openxmlformats.org/officeDocument/2006/relationships/externalLink" Target="externalLinks/externalLink41.xml"/><Relationship Id="rId119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5.xml"/><Relationship Id="rId81" Type="http://schemas.openxmlformats.org/officeDocument/2006/relationships/externalLink" Target="externalLinks/externalLink8.xml"/><Relationship Id="rId86" Type="http://schemas.openxmlformats.org/officeDocument/2006/relationships/externalLink" Target="externalLinks/externalLink13.xml"/><Relationship Id="rId94" Type="http://schemas.openxmlformats.org/officeDocument/2006/relationships/externalLink" Target="externalLinks/externalLink21.xml"/><Relationship Id="rId99" Type="http://schemas.openxmlformats.org/officeDocument/2006/relationships/externalLink" Target="externalLinks/externalLink26.xml"/><Relationship Id="rId101" Type="http://schemas.openxmlformats.org/officeDocument/2006/relationships/externalLink" Target="externalLinks/externalLink2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3.xml"/><Relationship Id="rId97" Type="http://schemas.openxmlformats.org/officeDocument/2006/relationships/externalLink" Target="externalLinks/externalLink24.xml"/><Relationship Id="rId104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22872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49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95500" y="122872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131306</xdr:colOff>
      <xdr:row>61</xdr:row>
      <xdr:rowOff>134467</xdr:rowOff>
    </xdr:from>
    <xdr:ext cx="4683125" cy="177053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836906" y="14755342"/>
          <a:ext cx="4683125" cy="1770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0</xdr:col>
      <xdr:colOff>0</xdr:colOff>
      <xdr:row>65</xdr:row>
      <xdr:rowOff>24651</xdr:rowOff>
    </xdr:from>
    <xdr:ext cx="431426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5407526"/>
          <a:ext cx="431426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5</xdr:col>
      <xdr:colOff>9525</xdr:colOff>
      <xdr:row>0</xdr:row>
      <xdr:rowOff>76200</xdr:rowOff>
    </xdr:from>
    <xdr:to>
      <xdr:col>6</xdr:col>
      <xdr:colOff>774629</xdr:colOff>
      <xdr:row>4</xdr:row>
      <xdr:rowOff>200025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xmlns="" id="{3E690073-AAA3-80B5-0654-C35980C52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2022404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18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73914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18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73914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20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704424" y="80917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20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78732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20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0032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26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66775" y="47625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26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52775" y="47625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871449</xdr:colOff>
      <xdr:row>28</xdr:row>
      <xdr:rowOff>205069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4244549" y="106635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10</xdr:col>
      <xdr:colOff>457200</xdr:colOff>
      <xdr:row>27</xdr:row>
      <xdr:rowOff>367548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9486900" y="104259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577853</xdr:colOff>
      <xdr:row>28</xdr:row>
      <xdr:rowOff>78442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4730753" y="105368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2</xdr:colOff>
      <xdr:row>0</xdr:row>
      <xdr:rowOff>47625</xdr:rowOff>
    </xdr:from>
    <xdr:to>
      <xdr:col>4</xdr:col>
      <xdr:colOff>1447802</xdr:colOff>
      <xdr:row>6</xdr:row>
      <xdr:rowOff>202406</xdr:rowOff>
    </xdr:to>
    <xdr:pic>
      <xdr:nvPicPr>
        <xdr:cNvPr id="8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14440" y="47625"/>
          <a:ext cx="2888456" cy="15478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5911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749363" y="6432176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19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9380449" y="66153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19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5156575" y="63968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19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873128" y="65268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14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1529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1529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16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361524" y="51771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16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9585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16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0885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47066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47066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444035</xdr:colOff>
      <xdr:row>16</xdr:row>
      <xdr:rowOff>212911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5960260" y="15319561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1192305</xdr:colOff>
      <xdr:row>16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154705" y="152422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10</xdr:col>
      <xdr:colOff>775190</xdr:colOff>
      <xdr:row>16</xdr:row>
      <xdr:rowOff>5598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0566890" y="151122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twoCellAnchor editAs="oneCell">
    <xdr:from>
      <xdr:col>3</xdr:col>
      <xdr:colOff>1</xdr:colOff>
      <xdr:row>0</xdr:row>
      <xdr:rowOff>119061</xdr:rowOff>
    </xdr:from>
    <xdr:to>
      <xdr:col>4</xdr:col>
      <xdr:colOff>1238251</xdr:colOff>
      <xdr:row>6</xdr:row>
      <xdr:rowOff>77899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6" y="119061"/>
          <a:ext cx="2676525" cy="13590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84677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81300" y="84677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705973</xdr:colOff>
      <xdr:row>18</xdr:row>
      <xdr:rowOff>212912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564348" y="8728262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18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6509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17</xdr:row>
      <xdr:rowOff>47932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185150" y="851565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47066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47066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444035</xdr:colOff>
      <xdr:row>24</xdr:row>
      <xdr:rowOff>212911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5960260" y="15319561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1192305</xdr:colOff>
      <xdr:row>24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154705" y="152422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10</xdr:col>
      <xdr:colOff>775190</xdr:colOff>
      <xdr:row>24</xdr:row>
      <xdr:rowOff>5598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10566890" y="151122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twoCellAnchor editAs="oneCell">
    <xdr:from>
      <xdr:col>3</xdr:col>
      <xdr:colOff>1</xdr:colOff>
      <xdr:row>0</xdr:row>
      <xdr:rowOff>119061</xdr:rowOff>
    </xdr:from>
    <xdr:to>
      <xdr:col>4</xdr:col>
      <xdr:colOff>1238251</xdr:colOff>
      <xdr:row>6</xdr:row>
      <xdr:rowOff>77899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6" y="119061"/>
          <a:ext cx="2676525" cy="13590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457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4577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15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75799" y="54819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15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52633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15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3933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6292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56292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2162999" y="66534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17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64349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17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65649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201706</xdr:colOff>
      <xdr:row>0</xdr:row>
      <xdr:rowOff>0</xdr:rowOff>
    </xdr:from>
    <xdr:to>
      <xdr:col>4</xdr:col>
      <xdr:colOff>1655809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411381" y="0"/>
          <a:ext cx="2892378" cy="15696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22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81915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22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14650" y="81915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56030</xdr:colOff>
      <xdr:row>24</xdr:row>
      <xdr:rowOff>291354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943105" y="928295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24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91271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5</xdr:col>
      <xdr:colOff>689349</xdr:colOff>
      <xdr:row>23</xdr:row>
      <xdr:rowOff>358588</xdr:rowOff>
    </xdr:from>
    <xdr:ext cx="4683125" cy="2106706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 rot="10800000" flipV="1">
          <a:off x="5318499" y="8950138"/>
          <a:ext cx="4683125" cy="21067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28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02489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28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14650" y="102489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30</xdr:row>
      <xdr:rowOff>291354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2744580" y="1134035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30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11845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5</xdr:col>
      <xdr:colOff>689349</xdr:colOff>
      <xdr:row>29</xdr:row>
      <xdr:rowOff>358588</xdr:rowOff>
    </xdr:from>
    <xdr:ext cx="4683125" cy="2106706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 rot="10800000" flipV="1">
          <a:off x="5318499" y="11007538"/>
          <a:ext cx="4683125" cy="21067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17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67913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19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828249" y="75012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19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72826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19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74126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23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76676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25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162874" y="86918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25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847332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25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6033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24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81050" y="110490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200400" y="110490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561980</xdr:colOff>
      <xdr:row>23</xdr:row>
      <xdr:rowOff>190500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353805" y="11039475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765550</xdr:colOff>
      <xdr:row>24</xdr:row>
      <xdr:rowOff>114300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918575" y="11163300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23</xdr:row>
      <xdr:rowOff>134470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987428" y="10983445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1</xdr:col>
      <xdr:colOff>104775</xdr:colOff>
      <xdr:row>19</xdr:row>
      <xdr:rowOff>0</xdr:rowOff>
    </xdr:from>
    <xdr:ext cx="238125" cy="298450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xmlns="" id="{89ADB51C-E79E-4C02-9432-E6B6D3A3746B}"/>
            </a:ext>
          </a:extLst>
        </xdr:cNvPr>
        <xdr:cNvSpPr txBox="1">
          <a:spLocks noChangeArrowheads="1"/>
        </xdr:cNvSpPr>
      </xdr:nvSpPr>
      <xdr:spPr bwMode="auto">
        <a:xfrm>
          <a:off x="781050" y="7886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19</xdr:row>
      <xdr:rowOff>0</xdr:rowOff>
    </xdr:from>
    <xdr:ext cx="238125" cy="2984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xmlns="" id="{FB624C3F-02D4-4974-A82F-26F923D644DB}"/>
            </a:ext>
          </a:extLst>
        </xdr:cNvPr>
        <xdr:cNvSpPr txBox="1">
          <a:spLocks noChangeArrowheads="1"/>
        </xdr:cNvSpPr>
      </xdr:nvSpPr>
      <xdr:spPr bwMode="auto">
        <a:xfrm>
          <a:off x="781050" y="7886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20</xdr:row>
      <xdr:rowOff>0</xdr:rowOff>
    </xdr:from>
    <xdr:ext cx="238125" cy="298450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xmlns="" id="{307895A8-1162-4528-8EFC-2ADAA5B1CBE4}"/>
            </a:ext>
          </a:extLst>
        </xdr:cNvPr>
        <xdr:cNvSpPr txBox="1">
          <a:spLocks noChangeArrowheads="1"/>
        </xdr:cNvSpPr>
      </xdr:nvSpPr>
      <xdr:spPr bwMode="auto">
        <a:xfrm>
          <a:off x="781050" y="89725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20</xdr:row>
      <xdr:rowOff>0</xdr:rowOff>
    </xdr:from>
    <xdr:ext cx="238125" cy="298450"/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CD68A3E7-2D41-4BFA-BA8E-E46A3C5A3A87}"/>
            </a:ext>
          </a:extLst>
        </xdr:cNvPr>
        <xdr:cNvSpPr txBox="1">
          <a:spLocks noChangeArrowheads="1"/>
        </xdr:cNvSpPr>
      </xdr:nvSpPr>
      <xdr:spPr bwMode="auto">
        <a:xfrm>
          <a:off x="781050" y="89725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21</xdr:row>
      <xdr:rowOff>0</xdr:rowOff>
    </xdr:from>
    <xdr:ext cx="238125" cy="298450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99AC57D2-8697-400E-9FD3-8B71146EB3A9}"/>
            </a:ext>
          </a:extLst>
        </xdr:cNvPr>
        <xdr:cNvSpPr txBox="1">
          <a:spLocks noChangeArrowheads="1"/>
        </xdr:cNvSpPr>
      </xdr:nvSpPr>
      <xdr:spPr bwMode="auto">
        <a:xfrm>
          <a:off x="781050" y="96964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26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28016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26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28016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47</xdr:row>
      <xdr:rowOff>27214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4493903" y="2662101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6</xdr:col>
      <xdr:colOff>611709</xdr:colOff>
      <xdr:row>48</xdr:row>
      <xdr:rowOff>27214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555309" y="26811514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3</xdr:col>
      <xdr:colOff>13396</xdr:colOff>
      <xdr:row>45</xdr:row>
      <xdr:rowOff>68036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223071" y="26280836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0</xdr:col>
      <xdr:colOff>104775</xdr:colOff>
      <xdr:row>28</xdr:row>
      <xdr:rowOff>0</xdr:rowOff>
    </xdr:from>
    <xdr:ext cx="238125" cy="298450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xmlns="" id="{C116442E-E83E-4813-BAF1-9810652548D1}"/>
            </a:ext>
          </a:extLst>
        </xdr:cNvPr>
        <xdr:cNvSpPr txBox="1">
          <a:spLocks noChangeArrowheads="1"/>
        </xdr:cNvSpPr>
      </xdr:nvSpPr>
      <xdr:spPr bwMode="auto">
        <a:xfrm>
          <a:off x="666750" y="151066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28</xdr:row>
      <xdr:rowOff>0</xdr:rowOff>
    </xdr:from>
    <xdr:ext cx="238125" cy="317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xmlns="" id="{D9299B76-1348-4B1E-9B03-7AF808068B5A}"/>
            </a:ext>
          </a:extLst>
        </xdr:cNvPr>
        <xdr:cNvSpPr txBox="1">
          <a:spLocks noChangeArrowheads="1"/>
        </xdr:cNvSpPr>
      </xdr:nvSpPr>
      <xdr:spPr bwMode="auto">
        <a:xfrm>
          <a:off x="2752725" y="151066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30</xdr:row>
      <xdr:rowOff>0</xdr:rowOff>
    </xdr:from>
    <xdr:ext cx="238125" cy="298450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xmlns="" id="{FF5F9D63-B08F-44CD-91D4-0C5327A7898A}"/>
            </a:ext>
          </a:extLst>
        </xdr:cNvPr>
        <xdr:cNvSpPr txBox="1">
          <a:spLocks noChangeArrowheads="1"/>
        </xdr:cNvSpPr>
      </xdr:nvSpPr>
      <xdr:spPr bwMode="auto">
        <a:xfrm>
          <a:off x="666750" y="17411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30</xdr:row>
      <xdr:rowOff>0</xdr:rowOff>
    </xdr:from>
    <xdr:ext cx="238125" cy="3175"/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6618643-9847-4003-8735-DCF2D7262860}"/>
            </a:ext>
          </a:extLst>
        </xdr:cNvPr>
        <xdr:cNvSpPr txBox="1">
          <a:spLocks noChangeArrowheads="1"/>
        </xdr:cNvSpPr>
      </xdr:nvSpPr>
      <xdr:spPr bwMode="auto">
        <a:xfrm>
          <a:off x="2752725" y="174117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34</xdr:row>
      <xdr:rowOff>0</xdr:rowOff>
    </xdr:from>
    <xdr:ext cx="238125" cy="298450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9F1637F4-BAAC-4BBA-B837-D18950416A9E}"/>
            </a:ext>
          </a:extLst>
        </xdr:cNvPr>
        <xdr:cNvSpPr txBox="1">
          <a:spLocks noChangeArrowheads="1"/>
        </xdr:cNvSpPr>
      </xdr:nvSpPr>
      <xdr:spPr bwMode="auto">
        <a:xfrm>
          <a:off x="666750" y="220218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34</xdr:row>
      <xdr:rowOff>0</xdr:rowOff>
    </xdr:from>
    <xdr:ext cx="238125" cy="317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EB4A8BDE-1901-4B03-A871-F8D3D692B036}"/>
            </a:ext>
          </a:extLst>
        </xdr:cNvPr>
        <xdr:cNvSpPr txBox="1">
          <a:spLocks noChangeArrowheads="1"/>
        </xdr:cNvSpPr>
      </xdr:nvSpPr>
      <xdr:spPr bwMode="auto">
        <a:xfrm>
          <a:off x="2752725" y="220218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27</xdr:row>
      <xdr:rowOff>0</xdr:rowOff>
    </xdr:from>
    <xdr:ext cx="238125" cy="298450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xmlns="" id="{E55EC260-81AD-4A14-B38E-E5575E6F9D36}"/>
            </a:ext>
          </a:extLst>
        </xdr:cNvPr>
        <xdr:cNvSpPr txBox="1">
          <a:spLocks noChangeArrowheads="1"/>
        </xdr:cNvSpPr>
      </xdr:nvSpPr>
      <xdr:spPr bwMode="auto">
        <a:xfrm>
          <a:off x="666750" y="139541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32</xdr:row>
      <xdr:rowOff>0</xdr:rowOff>
    </xdr:from>
    <xdr:ext cx="238125" cy="298450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xmlns="" id="{20005240-422D-4C3A-B3B4-50240226858D}"/>
            </a:ext>
          </a:extLst>
        </xdr:cNvPr>
        <xdr:cNvSpPr txBox="1">
          <a:spLocks noChangeArrowheads="1"/>
        </xdr:cNvSpPr>
      </xdr:nvSpPr>
      <xdr:spPr bwMode="auto">
        <a:xfrm>
          <a:off x="666750" y="197167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32</xdr:row>
      <xdr:rowOff>0</xdr:rowOff>
    </xdr:from>
    <xdr:ext cx="238125" cy="317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955FAAFE-2FBD-4061-AEDE-18260279D74C}"/>
            </a:ext>
          </a:extLst>
        </xdr:cNvPr>
        <xdr:cNvSpPr txBox="1">
          <a:spLocks noChangeArrowheads="1"/>
        </xdr:cNvSpPr>
      </xdr:nvSpPr>
      <xdr:spPr bwMode="auto">
        <a:xfrm>
          <a:off x="2752725" y="197167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29</xdr:row>
      <xdr:rowOff>0</xdr:rowOff>
    </xdr:from>
    <xdr:ext cx="238125" cy="298450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E914C2E8-1653-40C0-92E5-C90D5CA5FAAA}"/>
            </a:ext>
          </a:extLst>
        </xdr:cNvPr>
        <xdr:cNvSpPr txBox="1">
          <a:spLocks noChangeArrowheads="1"/>
        </xdr:cNvSpPr>
      </xdr:nvSpPr>
      <xdr:spPr bwMode="auto">
        <a:xfrm>
          <a:off x="666750" y="162591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30</xdr:row>
      <xdr:rowOff>0</xdr:rowOff>
    </xdr:from>
    <xdr:ext cx="238125" cy="298450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ECB761E2-BB82-44B2-9E6F-942FBF644E06}"/>
            </a:ext>
          </a:extLst>
        </xdr:cNvPr>
        <xdr:cNvSpPr txBox="1">
          <a:spLocks noChangeArrowheads="1"/>
        </xdr:cNvSpPr>
      </xdr:nvSpPr>
      <xdr:spPr bwMode="auto">
        <a:xfrm>
          <a:off x="666750" y="17411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31</xdr:row>
      <xdr:rowOff>0</xdr:rowOff>
    </xdr:from>
    <xdr:ext cx="238125" cy="298450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A498BC3-D716-4A23-8466-C0742E28B852}"/>
            </a:ext>
          </a:extLst>
        </xdr:cNvPr>
        <xdr:cNvSpPr txBox="1">
          <a:spLocks noChangeArrowheads="1"/>
        </xdr:cNvSpPr>
      </xdr:nvSpPr>
      <xdr:spPr bwMode="auto">
        <a:xfrm>
          <a:off x="666750" y="185642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29</xdr:row>
      <xdr:rowOff>0</xdr:rowOff>
    </xdr:from>
    <xdr:ext cx="238125" cy="298450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xmlns="" id="{303E3BAD-AB1B-41D1-9022-7EA3BE01D291}"/>
            </a:ext>
          </a:extLst>
        </xdr:cNvPr>
        <xdr:cNvSpPr txBox="1">
          <a:spLocks noChangeArrowheads="1"/>
        </xdr:cNvSpPr>
      </xdr:nvSpPr>
      <xdr:spPr bwMode="auto">
        <a:xfrm>
          <a:off x="666750" y="162591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33</xdr:row>
      <xdr:rowOff>0</xdr:rowOff>
    </xdr:from>
    <xdr:ext cx="238125" cy="298450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xmlns="" id="{65EFF3A7-EC12-4744-9BE2-D6965ABFD41B}"/>
            </a:ext>
          </a:extLst>
        </xdr:cNvPr>
        <xdr:cNvSpPr txBox="1">
          <a:spLocks noChangeArrowheads="1"/>
        </xdr:cNvSpPr>
      </xdr:nvSpPr>
      <xdr:spPr bwMode="auto">
        <a:xfrm>
          <a:off x="666750" y="208692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35</xdr:row>
      <xdr:rowOff>0</xdr:rowOff>
    </xdr:from>
    <xdr:ext cx="238125" cy="298450"/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E123C3E3-DB50-4A24-A207-D87DE1634CBB}"/>
            </a:ext>
          </a:extLst>
        </xdr:cNvPr>
        <xdr:cNvSpPr txBox="1">
          <a:spLocks noChangeArrowheads="1"/>
        </xdr:cNvSpPr>
      </xdr:nvSpPr>
      <xdr:spPr bwMode="auto">
        <a:xfrm>
          <a:off x="666750" y="229743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33</xdr:row>
      <xdr:rowOff>0</xdr:rowOff>
    </xdr:from>
    <xdr:ext cx="238125" cy="298450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xmlns="" id="{4A498BC3-D716-4A23-8466-C0742E28B852}"/>
            </a:ext>
          </a:extLst>
        </xdr:cNvPr>
        <xdr:cNvSpPr txBox="1">
          <a:spLocks noChangeArrowheads="1"/>
        </xdr:cNvSpPr>
      </xdr:nvSpPr>
      <xdr:spPr bwMode="auto">
        <a:xfrm>
          <a:off x="104775" y="18628179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26</xdr:row>
      <xdr:rowOff>0</xdr:rowOff>
    </xdr:from>
    <xdr:ext cx="238125" cy="298450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E55EC260-81AD-4A14-B38E-E5575E6F9D36}"/>
            </a:ext>
          </a:extLst>
        </xdr:cNvPr>
        <xdr:cNvSpPr txBox="1">
          <a:spLocks noChangeArrowheads="1"/>
        </xdr:cNvSpPr>
      </xdr:nvSpPr>
      <xdr:spPr bwMode="auto">
        <a:xfrm>
          <a:off x="104775" y="140017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32</xdr:row>
      <xdr:rowOff>0</xdr:rowOff>
    </xdr:from>
    <xdr:ext cx="238125" cy="298450"/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65EFF3A7-EC12-4744-9BE2-D6965ABFD41B}"/>
            </a:ext>
          </a:extLst>
        </xdr:cNvPr>
        <xdr:cNvSpPr txBox="1">
          <a:spLocks noChangeArrowheads="1"/>
        </xdr:cNvSpPr>
      </xdr:nvSpPr>
      <xdr:spPr bwMode="auto">
        <a:xfrm>
          <a:off x="104775" y="20941393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32</xdr:row>
      <xdr:rowOff>0</xdr:rowOff>
    </xdr:from>
    <xdr:ext cx="238125" cy="298450"/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A498BC3-D716-4A23-8466-C0742E28B852}"/>
            </a:ext>
          </a:extLst>
        </xdr:cNvPr>
        <xdr:cNvSpPr txBox="1">
          <a:spLocks noChangeArrowheads="1"/>
        </xdr:cNvSpPr>
      </xdr:nvSpPr>
      <xdr:spPr bwMode="auto">
        <a:xfrm>
          <a:off x="104775" y="20941393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34</xdr:row>
      <xdr:rowOff>0</xdr:rowOff>
    </xdr:from>
    <xdr:ext cx="238125" cy="298450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E123C3E3-DB50-4A24-A207-D87DE1634CBB}"/>
            </a:ext>
          </a:extLst>
        </xdr:cNvPr>
        <xdr:cNvSpPr txBox="1">
          <a:spLocks noChangeArrowheads="1"/>
        </xdr:cNvSpPr>
      </xdr:nvSpPr>
      <xdr:spPr bwMode="auto">
        <a:xfrm>
          <a:off x="104775" y="230505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28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09875" y="150971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505950</xdr:colOff>
      <xdr:row>39</xdr:row>
      <xdr:rowOff>78442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992975" y="17213917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6</xdr:col>
      <xdr:colOff>5791</xdr:colOff>
      <xdr:row>41</xdr:row>
      <xdr:rowOff>173686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54116" y="17690161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176683</xdr:colOff>
      <xdr:row>40</xdr:row>
      <xdr:rowOff>12327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795808" y="1733830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44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23900" y="258032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44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09875" y="258032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401249" y="268274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6</xdr:col>
      <xdr:colOff>599543</xdr:colOff>
      <xdr:row>58</xdr:row>
      <xdr:rowOff>51862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419318" y="3086523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227240</xdr:colOff>
      <xdr:row>54</xdr:row>
      <xdr:rowOff>66196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55890" y="30117571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66825" y="0"/>
          <a:ext cx="2892378" cy="156966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20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15062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20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15062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21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2323674" y="121303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21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20418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27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06013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33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8001824" y="111683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7</xdr:col>
      <xdr:colOff>517900</xdr:colOff>
      <xdr:row>41</xdr:row>
      <xdr:rowOff>43698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7909300" y="172458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3</xdr:col>
      <xdr:colOff>285750</xdr:colOff>
      <xdr:row>42</xdr:row>
      <xdr:rowOff>2242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504950" y="173948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194422</xdr:colOff>
      <xdr:row>27</xdr:row>
      <xdr:rowOff>168088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85272" y="11321863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685246</xdr:colOff>
      <xdr:row>28</xdr:row>
      <xdr:rowOff>11206</xdr:rowOff>
    </xdr:from>
    <xdr:ext cx="4241426" cy="2197289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2067621" y="11336431"/>
          <a:ext cx="4241426" cy="2197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812616</xdr:colOff>
      <xdr:row>27</xdr:row>
      <xdr:rowOff>135030</xdr:rowOff>
    </xdr:from>
    <xdr:ext cx="4683125" cy="2446618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22741" y="11317380"/>
          <a:ext cx="4683125" cy="2446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299947</xdr:colOff>
      <xdr:row>28</xdr:row>
      <xdr:rowOff>22412</xdr:rowOff>
    </xdr:from>
    <xdr:ext cx="4683125" cy="2513854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61922" y="11347637"/>
          <a:ext cx="4683125" cy="2513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43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49161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194422</xdr:colOff>
      <xdr:row>43</xdr:row>
      <xdr:rowOff>168088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75747" y="15084238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44</xdr:row>
      <xdr:rowOff>11206</xdr:rowOff>
    </xdr:from>
    <xdr:ext cx="4241426" cy="2197289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4450121" y="15327406"/>
          <a:ext cx="4241426" cy="2197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812616</xdr:colOff>
      <xdr:row>43</xdr:row>
      <xdr:rowOff>392205</xdr:rowOff>
    </xdr:from>
    <xdr:ext cx="4683125" cy="2446618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3216" y="15308355"/>
          <a:ext cx="4683125" cy="24466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3</xdr:col>
      <xdr:colOff>33617</xdr:colOff>
      <xdr:row>45</xdr:row>
      <xdr:rowOff>156884</xdr:rowOff>
    </xdr:from>
    <xdr:ext cx="4683125" cy="2513854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232646" y="15845119"/>
          <a:ext cx="4683125" cy="2513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1106720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0150" y="0"/>
          <a:ext cx="2887895" cy="156966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24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08966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25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933024" y="115017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25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13022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Reviió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25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14322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21348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21348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38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458399" y="127399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38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25404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Reviió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38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26704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19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66865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21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75799" y="75012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21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72826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21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74126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25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81724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27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067624" y="91966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27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937500" y="89781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27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91081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16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72104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18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456774" y="82346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18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801612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18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1461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21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68770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23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343849" y="79012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655732</xdr:colOff>
      <xdr:row>24</xdr:row>
      <xdr:rowOff>128863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15673" y="7961775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493060</xdr:colOff>
      <xdr:row>28</xdr:row>
      <xdr:rowOff>23533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120589" y="8618445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46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33425" y="258127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46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19400" y="258127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63940</xdr:colOff>
      <xdr:row>56</xdr:row>
      <xdr:rowOff>31129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913040" y="2819655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6</xdr:col>
      <xdr:colOff>520017</xdr:colOff>
      <xdr:row>54</xdr:row>
      <xdr:rowOff>105834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235017" y="27890259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501653</xdr:colOff>
      <xdr:row>55</xdr:row>
      <xdr:rowOff>79065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130303" y="28053990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82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33425" y="500538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82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09875" y="500538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83</xdr:row>
      <xdr:rowOff>179296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7135049" y="50633221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594100</xdr:colOff>
      <xdr:row>87</xdr:row>
      <xdr:rowOff>130968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18475" y="5134689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88</xdr:row>
      <xdr:rowOff>40822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98982" y="5144724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1</xdr:row>
      <xdr:rowOff>0</xdr:rowOff>
    </xdr:from>
    <xdr:to>
      <xdr:col>4</xdr:col>
      <xdr:colOff>1440656</xdr:colOff>
      <xdr:row>7</xdr:row>
      <xdr:rowOff>102393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66825" y="190500"/>
          <a:ext cx="2878931" cy="154066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38957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38957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15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675849" y="49199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15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70142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15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48314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2</xdr:col>
      <xdr:colOff>104775</xdr:colOff>
      <xdr:row>12</xdr:row>
      <xdr:rowOff>0</xdr:rowOff>
    </xdr:from>
    <xdr:ext cx="238125" cy="3175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09675" y="36957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12</xdr:row>
      <xdr:rowOff>0</xdr:rowOff>
    </xdr:from>
    <xdr:ext cx="238125" cy="2984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66750" y="3695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12</xdr:row>
      <xdr:rowOff>0</xdr:rowOff>
    </xdr:from>
    <xdr:ext cx="238125" cy="317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2725" y="36957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104775</xdr:colOff>
      <xdr:row>11</xdr:row>
      <xdr:rowOff>619125</xdr:rowOff>
    </xdr:from>
    <xdr:ext cx="238125" cy="3175"/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D3CADD13-9AA7-43F5-A053-A0C6F867DD56}"/>
            </a:ext>
          </a:extLst>
        </xdr:cNvPr>
        <xdr:cNvSpPr txBox="1">
          <a:spLocks noChangeArrowheads="1"/>
        </xdr:cNvSpPr>
      </xdr:nvSpPr>
      <xdr:spPr bwMode="auto">
        <a:xfrm>
          <a:off x="1209675" y="33813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11</xdr:row>
      <xdr:rowOff>619125</xdr:rowOff>
    </xdr:from>
    <xdr:ext cx="238125" cy="298450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228290F0-219C-4E5F-B7BB-588E42ABBA38}"/>
            </a:ext>
          </a:extLst>
        </xdr:cNvPr>
        <xdr:cNvSpPr txBox="1">
          <a:spLocks noChangeArrowheads="1"/>
        </xdr:cNvSpPr>
      </xdr:nvSpPr>
      <xdr:spPr bwMode="auto">
        <a:xfrm>
          <a:off x="666750" y="33813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11</xdr:row>
      <xdr:rowOff>619125</xdr:rowOff>
    </xdr:from>
    <xdr:ext cx="238125" cy="3175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FC706EDF-CD3F-48F4-8233-375C1238CBDB}"/>
            </a:ext>
          </a:extLst>
        </xdr:cNvPr>
        <xdr:cNvSpPr txBox="1">
          <a:spLocks noChangeArrowheads="1"/>
        </xdr:cNvSpPr>
      </xdr:nvSpPr>
      <xdr:spPr bwMode="auto">
        <a:xfrm>
          <a:off x="2752725" y="33813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14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36385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36385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16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2591624" y="46627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16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4442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16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45742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2</xdr:col>
      <xdr:colOff>104775</xdr:colOff>
      <xdr:row>14</xdr:row>
      <xdr:rowOff>0</xdr:rowOff>
    </xdr:from>
    <xdr:ext cx="238125" cy="3175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09675" y="36385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104775</xdr:colOff>
      <xdr:row>14</xdr:row>
      <xdr:rowOff>0</xdr:rowOff>
    </xdr:from>
    <xdr:ext cx="238125" cy="2984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66750" y="36385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14</xdr:row>
      <xdr:rowOff>0</xdr:rowOff>
    </xdr:from>
    <xdr:ext cx="238125" cy="317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2725" y="36385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10" name="0 Imagen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  <xdr:oneCellAnchor>
    <xdr:from>
      <xdr:col>2</xdr:col>
      <xdr:colOff>104775</xdr:colOff>
      <xdr:row>12</xdr:row>
      <xdr:rowOff>619125</xdr:rowOff>
    </xdr:from>
    <xdr:ext cx="238125" cy="317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EE76416-4526-4CF8-BFF0-054964D9908C}"/>
            </a:ext>
          </a:extLst>
        </xdr:cNvPr>
        <xdr:cNvSpPr txBox="1">
          <a:spLocks noChangeArrowheads="1"/>
        </xdr:cNvSpPr>
      </xdr:nvSpPr>
      <xdr:spPr bwMode="auto">
        <a:xfrm>
          <a:off x="1209675" y="32004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12</xdr:row>
      <xdr:rowOff>619125</xdr:rowOff>
    </xdr:from>
    <xdr:ext cx="238125" cy="317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xmlns="" id="{5A1653B3-ADF6-46DD-B68E-26B8494B0715}"/>
            </a:ext>
          </a:extLst>
        </xdr:cNvPr>
        <xdr:cNvSpPr txBox="1">
          <a:spLocks noChangeArrowheads="1"/>
        </xdr:cNvSpPr>
      </xdr:nvSpPr>
      <xdr:spPr bwMode="auto">
        <a:xfrm>
          <a:off x="2752725" y="32004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22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08585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24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761574" y="118827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24</xdr:row>
      <xdr:rowOff>83344</xdr:rowOff>
    </xdr:from>
    <xdr:ext cx="4683125" cy="195425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1741944"/>
          <a:ext cx="4683125" cy="19542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24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17941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33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87356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35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5334824" y="197598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35</xdr:row>
      <xdr:rowOff>83344</xdr:rowOff>
    </xdr:from>
    <xdr:ext cx="4683125" cy="195425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9619119"/>
          <a:ext cx="4683125" cy="19542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35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96713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23812</xdr:colOff>
      <xdr:row>0</xdr:row>
      <xdr:rowOff>0</xdr:rowOff>
    </xdr:from>
    <xdr:to>
      <xdr:col>4</xdr:col>
      <xdr:colOff>1471612</xdr:colOff>
      <xdr:row>6</xdr:row>
      <xdr:rowOff>154781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33487" y="0"/>
          <a:ext cx="2886075" cy="155495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20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82962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20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267075" y="82962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21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018749" y="89204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20</xdr:row>
      <xdr:rowOff>397804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70925" y="8694079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21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8319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oneCellAnchor>
    <xdr:from>
      <xdr:col>0</xdr:col>
      <xdr:colOff>435428</xdr:colOff>
      <xdr:row>11</xdr:row>
      <xdr:rowOff>176893</xdr:rowOff>
    </xdr:from>
    <xdr:ext cx="238125" cy="3175"/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35428" y="2939143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27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93535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28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277174" y="99777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27</xdr:row>
      <xdr:rowOff>397804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9751354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28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98891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16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2195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18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780624" y="52437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21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9053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21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9053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23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153599" y="59295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23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57110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23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8410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14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9434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9434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16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75799" y="59676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16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57491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16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8791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18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4864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18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54864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20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153349" y="65106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20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62920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20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64220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18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1339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18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19475" y="51339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20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904449" y="58152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20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709025" y="55967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20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7267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87058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87058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25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972749" y="89299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823821</xdr:colOff>
      <xdr:row>35</xdr:row>
      <xdr:rowOff>95246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291046" y="10915646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25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8414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1446099</xdr:colOff>
      <xdr:row>6</xdr:row>
      <xdr:rowOff>132669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84374" cy="1532844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32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43225" y="157067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34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732999" y="163975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34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47075" y="161790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34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63628" y="163090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53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248025" y="176593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55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962974" y="186835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55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51875" y="184650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55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73153" y="185950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1151544</xdr:colOff>
      <xdr:row>6</xdr:row>
      <xdr:rowOff>169488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409700" y="0"/>
          <a:ext cx="2885094" cy="15696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22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95600" y="103822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891056</xdr:colOff>
      <xdr:row>26</xdr:row>
      <xdr:rowOff>100853</xdr:rowOff>
    </xdr:from>
    <xdr:ext cx="4683125" cy="203200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01156" y="1124510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187889</xdr:colOff>
      <xdr:row>27</xdr:row>
      <xdr:rowOff>67236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749864" y="11401986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203106</xdr:rowOff>
    </xdr:to>
    <xdr:pic>
      <xdr:nvPicPr>
        <xdr:cNvPr id="5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352550" y="0"/>
          <a:ext cx="2892378" cy="157470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08585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08585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752479</xdr:colOff>
      <xdr:row>35</xdr:row>
      <xdr:rowOff>89649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20329" y="1174824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Cibyl Andrea Sandate Espinal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35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16641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35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17941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20</xdr:col>
      <xdr:colOff>2797970</xdr:colOff>
      <xdr:row>8</xdr:row>
      <xdr:rowOff>152678</xdr:rowOff>
    </xdr:to>
    <xdr:pic>
      <xdr:nvPicPr>
        <xdr:cNvPr id="8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139" t="3181" b="80089"/>
        <a:stretch/>
      </xdr:blipFill>
      <xdr:spPr>
        <a:xfrm>
          <a:off x="22212300" y="0"/>
          <a:ext cx="2797970" cy="204815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18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86296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18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52775" y="86296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465233</xdr:colOff>
      <xdr:row>26</xdr:row>
      <xdr:rowOff>11206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32508" y="10164856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0</xdr:col>
      <xdr:colOff>501653</xdr:colOff>
      <xdr:row>25</xdr:row>
      <xdr:rowOff>145676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01653" y="10108826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1196368</xdr:colOff>
      <xdr:row>6</xdr:row>
      <xdr:rowOff>203106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352550" y="0"/>
          <a:ext cx="2891818" cy="1574706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91535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91535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27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334324" y="101777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27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995922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27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00892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550774</xdr:colOff>
      <xdr:row>16</xdr:row>
      <xdr:rowOff>224119</xdr:rowOff>
    </xdr:from>
    <xdr:ext cx="4241426" cy="1603375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399624" y="73678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16</xdr:row>
      <xdr:rowOff>5598</xdr:rowOff>
    </xdr:from>
    <xdr:ext cx="4683125" cy="203200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71493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16</xdr:row>
      <xdr:rowOff>135592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72793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21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79057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21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79057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23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010724" y="89299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23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87114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23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88414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57816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19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75799" y="68058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19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65873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19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67173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25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65722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65722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27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543874" y="75964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27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73779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27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75079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26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00100" y="130968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26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52775" y="130968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27</xdr:row>
      <xdr:rowOff>0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2399874" y="13201650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893457</xdr:colOff>
      <xdr:row>30</xdr:row>
      <xdr:rowOff>136071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722632" y="13909221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27</xdr:row>
      <xdr:rowOff>0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06478" y="13201650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41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00100" y="174688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41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152775" y="174688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42</xdr:row>
      <xdr:rowOff>0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7144574" y="17868900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594100</xdr:colOff>
      <xdr:row>46</xdr:row>
      <xdr:rowOff>83343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28038" y="18811874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006478" y="17868900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1</xdr:col>
      <xdr:colOff>607221</xdr:colOff>
      <xdr:row>0</xdr:row>
      <xdr:rowOff>95248</xdr:rowOff>
    </xdr:from>
    <xdr:to>
      <xdr:col>4</xdr:col>
      <xdr:colOff>964409</xdr:colOff>
      <xdr:row>7</xdr:row>
      <xdr:rowOff>35717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38252" y="95248"/>
          <a:ext cx="2774157" cy="1416844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29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76575" y="160877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360274</xdr:colOff>
      <xdr:row>31</xdr:row>
      <xdr:rowOff>224118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828249" y="17254818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31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80425" y="170362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31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82653" y="171662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47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89261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47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89261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49</xdr:row>
      <xdr:rowOff>224118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2915474" y="19864668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49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96461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49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97761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257736</xdr:colOff>
      <xdr:row>0</xdr:row>
      <xdr:rowOff>0</xdr:rowOff>
    </xdr:from>
    <xdr:to>
      <xdr:col>4</xdr:col>
      <xdr:colOff>1454103</xdr:colOff>
      <xdr:row>6</xdr:row>
      <xdr:rowOff>123265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467411" y="0"/>
          <a:ext cx="2634642" cy="133294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0576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0576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14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409149" y="44055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14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1870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14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43170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3625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53625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17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2277299" y="63867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17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61682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17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62982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20</xdr:col>
      <xdr:colOff>0</xdr:colOff>
      <xdr:row>0</xdr:row>
      <xdr:rowOff>0</xdr:rowOff>
    </xdr:from>
    <xdr:to>
      <xdr:col>20</xdr:col>
      <xdr:colOff>2797970</xdr:colOff>
      <xdr:row>8</xdr:row>
      <xdr:rowOff>152678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139" t="3181" b="80089"/>
        <a:stretch/>
      </xdr:blipFill>
      <xdr:spPr>
        <a:xfrm>
          <a:off x="23193375" y="0"/>
          <a:ext cx="2797970" cy="204815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8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23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00375" y="97917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25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866474" y="108159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25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04225" y="105973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25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07273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35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00375" y="116776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37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5239574" y="127018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37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28025" y="124833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37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26133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1197769</xdr:colOff>
      <xdr:row>6</xdr:row>
      <xdr:rowOff>154781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83694" cy="1554956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21</xdr:col>
      <xdr:colOff>71439</xdr:colOff>
      <xdr:row>8</xdr:row>
      <xdr:rowOff>142872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139" t="3181" b="80089"/>
        <a:stretch/>
      </xdr:blipFill>
      <xdr:spPr>
        <a:xfrm>
          <a:off x="26641425" y="0"/>
          <a:ext cx="2795589" cy="2038347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14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1910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1910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16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75799" y="52152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16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9966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16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1266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1814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1814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19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420049" y="52056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19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9871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19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1171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7</xdr:row>
      <xdr:rowOff>68636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4501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26</xdr:row>
      <xdr:rowOff>0</xdr:rowOff>
    </xdr:from>
    <xdr:ext cx="238125" cy="3175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90825" y="119157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28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713949" y="129399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28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94675" y="127214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28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28514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23900" y="208407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37</xdr:row>
      <xdr:rowOff>224119</xdr:rowOff>
    </xdr:from>
    <xdr:ext cx="4241426" cy="1603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4106099" y="218649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37</xdr:row>
      <xdr:rowOff>5598</xdr:rowOff>
    </xdr:from>
    <xdr:ext cx="4683125" cy="20320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042275" y="216463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37</xdr:row>
      <xdr:rowOff>135592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930278" y="217763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1238250</xdr:colOff>
      <xdr:row>6</xdr:row>
      <xdr:rowOff>11906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66825" y="0"/>
          <a:ext cx="2676525" cy="1221581"/>
        </a:xfrm>
        <a:prstGeom prst="rect">
          <a:avLst/>
        </a:prstGeom>
      </xdr:spPr>
    </xdr:pic>
    <xdr:clientData/>
  </xdr:twoCellAnchor>
  <xdr:twoCellAnchor editAs="oneCell">
    <xdr:from>
      <xdr:col>20</xdr:col>
      <xdr:colOff>59530</xdr:colOff>
      <xdr:row>0</xdr:row>
      <xdr:rowOff>0</xdr:rowOff>
    </xdr:from>
    <xdr:to>
      <xdr:col>20</xdr:col>
      <xdr:colOff>2311514</xdr:colOff>
      <xdr:row>6</xdr:row>
      <xdr:rowOff>238124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139" t="3181" b="80089"/>
        <a:stretch/>
      </xdr:blipFill>
      <xdr:spPr>
        <a:xfrm>
          <a:off x="25100755" y="0"/>
          <a:ext cx="2251984" cy="1447799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17824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095625" y="117824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25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980649" y="1278759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25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99475" y="1256907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25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269906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51066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47975" y="151066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37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4067999" y="1613086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37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251825" y="159123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37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60423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1358853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22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15824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22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15824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606803</xdr:colOff>
      <xdr:row>24</xdr:row>
      <xdr:rowOff>257733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484353" y="12640233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24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23880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24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25180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32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130492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32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130492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34</xdr:row>
      <xdr:rowOff>257733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485603" y="14107083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34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1385494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34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1398494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0</xdr:colOff>
      <xdr:row>0</xdr:row>
      <xdr:rowOff>0</xdr:rowOff>
    </xdr:from>
    <xdr:to>
      <xdr:col>4</xdr:col>
      <xdr:colOff>1454103</xdr:colOff>
      <xdr:row>6</xdr:row>
      <xdr:rowOff>169488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209675" y="0"/>
          <a:ext cx="2892378" cy="15696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13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37814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13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37814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15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275799" y="48056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15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458712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15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47171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46482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17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46482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19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362899" y="56724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19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54538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19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55838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  <xdr:twoCellAnchor editAs="oneCell">
    <xdr:from>
      <xdr:col>3</xdr:col>
      <xdr:colOff>123265</xdr:colOff>
      <xdr:row>1</xdr:row>
      <xdr:rowOff>67235</xdr:rowOff>
    </xdr:from>
    <xdr:to>
      <xdr:col>4</xdr:col>
      <xdr:colOff>1577368</xdr:colOff>
      <xdr:row>8</xdr:row>
      <xdr:rowOff>12606</xdr:rowOff>
    </xdr:to>
    <xdr:pic>
      <xdr:nvPicPr>
        <xdr:cNvPr id="7" name="0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332940" y="295835"/>
          <a:ext cx="2892378" cy="1574146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15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83882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15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2725" y="583882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550774</xdr:colOff>
      <xdr:row>17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0952074" y="6863044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17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156575" y="6644523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1</xdr:col>
      <xdr:colOff>311153</xdr:colOff>
      <xdr:row>17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6774517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19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7531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104775</xdr:colOff>
      <xdr:row>19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67100" y="57531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0</xdr:colOff>
      <xdr:row>21</xdr:row>
      <xdr:rowOff>224119</xdr:rowOff>
    </xdr:from>
    <xdr:ext cx="4241426" cy="16033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686999" y="6777319"/>
          <a:ext cx="4241426" cy="160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Elaboró</a:t>
          </a:r>
        </a:p>
        <a:p>
          <a:pPr algn="ctr"/>
          <a:r>
            <a:rPr lang="es-MX" sz="1700" b="1"/>
            <a:t>Vannesa Madrigal  Gutiérrez</a:t>
          </a:r>
        </a:p>
        <a:p>
          <a:pPr algn="ctr"/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5</xdr:col>
      <xdr:colOff>689350</xdr:colOff>
      <xdr:row>21</xdr:row>
      <xdr:rowOff>5598</xdr:rowOff>
    </xdr:from>
    <xdr:ext cx="4683125" cy="2032000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870950" y="6558798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</a:t>
          </a:r>
        </a:p>
        <a:p>
          <a:pPr algn="ctr"/>
          <a:r>
            <a:rPr lang="es-MX" sz="1700"/>
            <a:t>Revisó</a:t>
          </a:r>
        </a:p>
        <a:p>
          <a:pPr algn="ctr"/>
          <a:r>
            <a:rPr lang="es-MX" sz="1700" b="1"/>
            <a:t>Mauricio Flores</a:t>
          </a:r>
          <a:r>
            <a:rPr lang="es-MX" sz="1700" b="1" baseline="0"/>
            <a:t> Ronquillo</a:t>
          </a:r>
          <a:endParaRPr lang="es-MX" sz="1700" b="1"/>
        </a:p>
        <a:p>
          <a:pPr algn="ctr"/>
          <a:r>
            <a:rPr lang="es-MX" sz="1700"/>
            <a:t>Jefe</a:t>
          </a:r>
          <a:r>
            <a:rPr lang="es-MX" sz="1700" baseline="0"/>
            <a:t> de </a:t>
          </a:r>
          <a:r>
            <a:rPr lang="es-MX" sz="1700"/>
            <a:t>Area</a:t>
          </a:r>
          <a:r>
            <a:rPr lang="es-MX" sz="1700" baseline="0"/>
            <a:t> de Control Presupuestal</a:t>
          </a:r>
          <a:endParaRPr lang="es-MX" sz="1700"/>
        </a:p>
      </xdr:txBody>
    </xdr:sp>
    <xdr:clientData/>
  </xdr:oneCellAnchor>
  <xdr:oneCellAnchor>
    <xdr:from>
      <xdr:col>2</xdr:col>
      <xdr:colOff>0</xdr:colOff>
      <xdr:row>21</xdr:row>
      <xdr:rowOff>135592</xdr:rowOff>
    </xdr:from>
    <xdr:ext cx="4683125" cy="203200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73128" y="6688792"/>
          <a:ext cx="4683125" cy="203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es-MX" sz="1700"/>
        </a:p>
        <a:p>
          <a:pPr algn="ctr"/>
          <a:r>
            <a:rPr lang="es-MX" sz="1700"/>
            <a:t>___________________________________</a:t>
          </a:r>
        </a:p>
        <a:p>
          <a:pPr algn="ctr"/>
          <a:r>
            <a:rPr lang="es-MX" sz="1700"/>
            <a:t>Supervisó</a:t>
          </a:r>
        </a:p>
        <a:p>
          <a:pPr algn="ctr"/>
          <a:r>
            <a:rPr lang="es-MX" sz="1700" b="1"/>
            <a:t>Mtro. Carlos Francisco Trujillo Santos</a:t>
          </a:r>
        </a:p>
        <a:p>
          <a:pPr algn="ctr"/>
          <a:r>
            <a:rPr lang="es-MX" sz="1700"/>
            <a:t>Titular de la División</a:t>
          </a:r>
          <a:r>
            <a:rPr lang="es-MX" sz="1700" baseline="0"/>
            <a:t> de Arrendamiento y Comercialización</a:t>
          </a:r>
          <a:endParaRPr lang="es-MX" sz="17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1%20Ags%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2%20BC%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3%20BCS%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4%20CAM%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5%20COAH%202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6%20COL%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7%20CHIS%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8%20CHIH%202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09%20NC%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0%20DGO%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1%20GTO%202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2%20GRO%202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4%20JAL%202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5%20EDO%20MEX%20OTE%202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6%20EDO%20MEX%20PTE%202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7%20MICH%202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8%20MOR%202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9%20NAY%2026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0%20NL%2026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1%20OAX%2026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2%20PUB%2026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3%20QRO%2026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4%20Q%20ROO%2026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5%20SLP%2026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6%20SIN%2026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7%20SON%2026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8%20TAB%2026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29%20TAMS%2026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30%20TLAX%2025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31%20VER%20NTE%2026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32%20VER%20SUR%2026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34%20ZAC%2026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36%20DF%20NTE%2026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38%20DF%20SUR%2026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Avance%202025\07%20CHIS%2025%20calendario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4\09%20NC%2024%20calendario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4\Avance%202023\12%20GRO%2023%20calendario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18%20MOR%2026%20calendario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Avance%202025\18%20MOR%2025%20calendario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4\20%20NL%2024%20calendario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6\Avance%202024\Avance%202023\24%20Q%20ROO%2023%20calendario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27WSMFR02\Avance%202024\CONTROL%20PRESUPUESTAL\2022\Avance%202612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S"/>
    </sheetNames>
    <sheetDataSet>
      <sheetData sheetId="0">
        <row r="18">
          <cell r="B18">
            <v>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</sheetNames>
    <sheetDataSet>
      <sheetData sheetId="0">
        <row r="14">
          <cell r="B14">
            <v>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S "/>
    </sheetNames>
    <sheetDataSet>
      <sheetData sheetId="0">
        <row r="17">
          <cell r="B17">
            <v>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"/>
    </sheetNames>
    <sheetDataSet>
      <sheetData sheetId="0">
        <row r="13">
          <cell r="B13">
            <v>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H"/>
    </sheetNames>
    <sheetDataSet>
      <sheetData sheetId="0">
        <row r="21">
          <cell r="B21">
            <v>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"/>
    </sheetNames>
    <sheetDataSet>
      <sheetData sheetId="0">
        <row r="17">
          <cell r="B17">
            <v>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S"/>
    </sheetNames>
    <sheetDataSet>
      <sheetData sheetId="0">
        <row r="24">
          <cell r="B24">
            <v>10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H"/>
    </sheetNames>
    <sheetDataSet>
      <sheetData sheetId="0">
        <row r="28">
          <cell r="B28">
            <v>16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"/>
    </sheetNames>
    <sheetDataSet>
      <sheetData sheetId="0">
        <row r="19">
          <cell r="B19">
            <v>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O"/>
    </sheetNames>
    <sheetDataSet>
      <sheetData sheetId="0">
        <row r="27">
          <cell r="B27">
            <v>12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O"/>
    </sheetNames>
    <sheetDataSet>
      <sheetData sheetId="0">
        <row r="24">
          <cell r="B24">
            <v>12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"/>
    </sheetNames>
    <sheetDataSet>
      <sheetData sheetId="0">
        <row r="19">
          <cell r="B19">
            <v>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L"/>
    </sheetNames>
    <sheetDataSet>
      <sheetData sheetId="0">
        <row r="46">
          <cell r="B46">
            <v>33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MEX OTE"/>
    </sheetNames>
    <sheetDataSet>
      <sheetData sheetId="0">
        <row r="13">
          <cell r="B13">
            <v>1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MEX PTE"/>
    </sheetNames>
    <sheetDataSet>
      <sheetData sheetId="0">
        <row r="22">
          <cell r="B22">
            <v>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CH"/>
    </sheetNames>
    <sheetDataSet>
      <sheetData sheetId="0">
        <row r="20">
          <cell r="B20">
            <v>7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"/>
    </sheetNames>
    <sheetDataSet>
      <sheetData sheetId="0">
        <row r="16">
          <cell r="B16">
            <v>2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Y"/>
    </sheetNames>
    <sheetDataSet>
      <sheetData sheetId="0">
        <row r="14">
          <cell r="B14">
            <v>2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"/>
    </sheetNames>
    <sheetDataSet>
      <sheetData sheetId="0">
        <row r="18">
          <cell r="B18">
            <v>4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X"/>
      <sheetName val="Tiendas"/>
      <sheetName val="Hoja1"/>
    </sheetNames>
    <sheetDataSet>
      <sheetData sheetId="0">
        <row r="32">
          <cell r="B32">
            <v>17</v>
          </cell>
        </row>
      </sheetData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</sheetNames>
    <sheetDataSet>
      <sheetData sheetId="0">
        <row r="22">
          <cell r="B22">
            <v>10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O"/>
    </sheetNames>
    <sheetDataSet>
      <sheetData sheetId="0">
        <row r="18">
          <cell r="B18">
            <v>6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ROO"/>
    </sheetNames>
    <sheetDataSet>
      <sheetData sheetId="0">
        <row r="16">
          <cell r="B16">
            <v>4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P"/>
    </sheetNames>
    <sheetDataSet>
      <sheetData sheetId="0">
        <row r="17">
          <cell r="B17">
            <v>5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"/>
    </sheetNames>
    <sheetDataSet>
      <sheetData sheetId="0">
        <row r="26">
          <cell r="B26">
            <v>14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N"/>
    </sheetNames>
    <sheetDataSet>
      <sheetData sheetId="0">
        <row r="29">
          <cell r="B29">
            <v>17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"/>
    </sheetNames>
    <sheetDataSet>
      <sheetData sheetId="0">
        <row r="13">
          <cell r="B13">
            <v>1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S"/>
    </sheetNames>
    <sheetDataSet>
      <sheetData sheetId="0">
        <row r="23">
          <cell r="B23">
            <v>10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LAX"/>
    </sheetNames>
    <sheetDataSet>
      <sheetData sheetId="0" refreshError="1">
        <row r="14">
          <cell r="B14">
            <v>2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 NTE"/>
    </sheetNames>
    <sheetDataSet>
      <sheetData sheetId="0">
        <row r="26">
          <cell r="B26">
            <v>12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 SUR"/>
    </sheetNames>
    <sheetDataSet>
      <sheetData sheetId="0">
        <row r="23">
          <cell r="B23">
            <v>11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C"/>
    </sheetNames>
    <sheetDataSet>
      <sheetData sheetId="0">
        <row r="22">
          <cell r="B22">
            <v>10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 NTE"/>
    </sheetNames>
    <sheetDataSet>
      <sheetData sheetId="0">
        <row r="13">
          <cell r="B13">
            <v>1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 SUR"/>
    </sheetNames>
    <sheetDataSet>
      <sheetData sheetId="0">
        <row r="15">
          <cell r="B15">
            <v>3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S"/>
      <sheetName val="CHIS CONT"/>
    </sheetNames>
    <sheetDataSet>
      <sheetData sheetId="0">
        <row r="26">
          <cell r="A26">
            <v>79306</v>
          </cell>
          <cell r="B26">
            <v>73200</v>
          </cell>
        </row>
        <row r="28">
          <cell r="A28">
            <v>79307</v>
          </cell>
          <cell r="B28">
            <v>73110</v>
          </cell>
        </row>
      </sheetData>
      <sheetData sheetId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"/>
      <sheetName val="NC cont"/>
    </sheetNames>
    <sheetDataSet>
      <sheetData sheetId="0">
        <row r="20">
          <cell r="G20">
            <v>2346292.5367999999</v>
          </cell>
        </row>
      </sheetData>
      <sheetData sheetId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"/>
      <sheetName val="GRO CONT"/>
    </sheetNames>
    <sheetDataSet>
      <sheetData sheetId="0">
        <row r="12">
          <cell r="T12">
            <v>84369.12</v>
          </cell>
        </row>
        <row r="24">
          <cell r="T24">
            <v>0</v>
          </cell>
        </row>
        <row r="25">
          <cell r="T25">
            <v>0</v>
          </cell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"/>
      <sheetName val="MOR CONT"/>
    </sheetNames>
    <sheetDataSet>
      <sheetData sheetId="0">
        <row r="16">
          <cell r="T16">
            <v>0</v>
          </cell>
        </row>
        <row r="17">
          <cell r="T17">
            <v>0</v>
          </cell>
        </row>
      </sheetData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"/>
      <sheetName val="MOR CONT"/>
    </sheetNames>
    <sheetDataSet>
      <sheetData sheetId="0">
        <row r="18">
          <cell r="T18">
            <v>0</v>
          </cell>
        </row>
        <row r="19">
          <cell r="T19">
            <v>0</v>
          </cell>
        </row>
      </sheetData>
      <sheetData sheetId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"/>
      <sheetName val="NL CONT"/>
    </sheetNames>
    <sheetDataSet>
      <sheetData sheetId="0">
        <row r="22">
          <cell r="T22">
            <v>0</v>
          </cell>
        </row>
        <row r="23">
          <cell r="T23">
            <v>0</v>
          </cell>
        </row>
      </sheetData>
      <sheetData sheetId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ROO"/>
      <sheetName val="Q ROO CONT"/>
    </sheetNames>
    <sheetDataSet>
      <sheetData sheetId="0">
        <row r="12">
          <cell r="T12">
            <v>69600</v>
          </cell>
        </row>
        <row r="18">
          <cell r="K18">
            <v>358403.46</v>
          </cell>
        </row>
      </sheetData>
      <sheetData sheetId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kk022_72584112"/>
      <sheetName val="Hoja2"/>
      <sheetName val="Hoja1"/>
    </sheetNames>
    <sheetDataSet>
      <sheetData sheetId="0"/>
      <sheetData sheetId="1">
        <row r="3">
          <cell r="A3" t="str">
            <v>Etiquetas de fila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\\MTO02427WS12306\Users\gabriel.reyesp\Desktop\ARRENDAMIENTOS%202018\01%20AGUASCALIENTES\EXP%203%20CC\14.-%20JUL%2023%20OF%208454%20CONTRATO.pdf" TargetMode="External"/><Relationship Id="rId2" Type="http://schemas.openxmlformats.org/officeDocument/2006/relationships/hyperlink" Target="file:///\\MTO02427WS12306\Users\gabriel.reyesp\Desktop\ARRENDAMIENTOS%202018\01%20AGUASCALIENTES\EXP%202%20OAS%20METROPOLITANA%20SUR\15.-%20JUL%2023%20OF%208577%20CONTRATO.pdf" TargetMode="External"/><Relationship Id="rId1" Type="http://schemas.openxmlformats.org/officeDocument/2006/relationships/hyperlink" Target="file:///\\MTO02427WSMFR02\..\..\Users\mauricio.flores\AppData\Roaming\ARRENDAMIENTOS%202017\AGUASCALIENTES%202017\EXP%201%20OAS%20METROPOLITANA%20NORTE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file:///\\MTO02427WS12306\Users\gabriel.reyesp\Desktop\ARRENDAMIENTOS%202018\01%20AGUASCALIENTES\EXP%204%20ALMACEN%20DELEGACIONAL,%20BBE,%20ARCHIVO%20Y%20OFICINAS\20.-%20JUL%2023%20OF%208453%20CONTRATO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file:///\\MTO02427WSMFR02\..\..\Users\mauricio.flores\AppData\Roaming\ARRENDAMIENTOS%202017\AGUASCALIENTES%202017\EXP%203%20CC" TargetMode="External"/><Relationship Id="rId7" Type="http://schemas.openxmlformats.org/officeDocument/2006/relationships/hyperlink" Target="file:///\\MTO02427WS12306\Users\gabriel.reyesp\Desktop\ARRENDAMIENTOS%202018\01%20AGUASCALIENTES\EXP%204%20ALMACEN%20DELEGACIONAL,%20BBE,%20ARCHIVO%20Y%20OFICINAS\20.-%20JUL%2023%20OF%208453%20CONTRATO.pdf" TargetMode="External"/><Relationship Id="rId2" Type="http://schemas.openxmlformats.org/officeDocument/2006/relationships/hyperlink" Target="file:///\\MTO02427WSMFR02\..\..\Users\mauricio.flores\AppData\Roaming\ARRENDAMIENTOS%202017\AGUASCALIENTES%202017\EXP%202%20OAS%20METROPOLITANA%20SUR" TargetMode="External"/><Relationship Id="rId1" Type="http://schemas.openxmlformats.org/officeDocument/2006/relationships/hyperlink" Target="file:///\\MTO02427WSMFR02\..\..\Users\mauricio.flores\AppData\Roaming\ARRENDAMIENTOS%202017\AGUASCALIENTES%202017\EXP%201%20OAS%20METROPOLITANA%20NORTE" TargetMode="External"/><Relationship Id="rId6" Type="http://schemas.openxmlformats.org/officeDocument/2006/relationships/hyperlink" Target="file:///\\MTO02427WS12306\Users\gabriel.reyesp\Desktop\ARRENDAMIENTOS%202018\01%20AGUASCALIENTES\EXP%203%20CC\14.-%20JUL%2023%20OF%208454%20CONTRATO.pdf" TargetMode="External"/><Relationship Id="rId5" Type="http://schemas.openxmlformats.org/officeDocument/2006/relationships/hyperlink" Target="file:///\\MTO02427WS12306\Users\gabriel.reyesp\Desktop\ARRENDAMIENTOS%202018\01%20AGUASCALIENTES\EXP%202%20OAS%20METROPOLITANA%20SUR\15.-%20JUL%2023%20OF%208577%20CONTRATO.pdf" TargetMode="External"/><Relationship Id="rId4" Type="http://schemas.openxmlformats.org/officeDocument/2006/relationships/hyperlink" Target="file:///\\MTO02427WSMFR02\..\..\Users\mauricio.flores\AppData\Roaming\ARRENDAMIENTOS%202017\AGUASCALIENTES%202017\EXP%204%20ALMACEN%20DELEGACIONAL,%20BBE,%20ARCHIVO%20Y%20OFICINAS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file:///\\MTO02427WS12306\Users\gabriel.reyesp\Desktop\ARRENDAMIENTOS%202018\01%20AGUASCALIENTES\EXP%203%20CC\14.-%20JUL%2023%20OF%208454%20CONTRATO.pdf" TargetMode="External"/><Relationship Id="rId2" Type="http://schemas.openxmlformats.org/officeDocument/2006/relationships/hyperlink" Target="file:///\\MTO02427WS12306\Users\gabriel.reyesp\Desktop\ARRENDAMIENTOS%202018\01%20AGUASCALIENTES\EXP%202%20OAS%20METROPOLITANA%20SUR\15.-%20JUL%2023%20OF%208577%20CONTRATO.pdf" TargetMode="External"/><Relationship Id="rId1" Type="http://schemas.openxmlformats.org/officeDocument/2006/relationships/hyperlink" Target="file:///\\MTO02427WSMFR02\..\..\Users\mauricio.flores\AppData\Roaming\ARRENDAMIENTOS%202017\AGUASCALIENTES%202017\EXP%201%20OAS%20METROPOLITANA%20NORTE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file:///\\MTO02427WS12306\Users\gabriel.reyesp\Desktop\ARRENDAMIENTOS%202018\01%20AGUASCALIENTES\EXP%204%20ALMACEN%20DELEGACIONAL,%20BBE,%20ARCHIVO%20Y%20OFICINAS\20.-%20JUL%2023%20OF%208453%20CONTRATO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file:///\\MTO02427WS12306\Users\gabriel.reyesp\Desktop\ARRENDAMIENTOS%202018\02%20BAJA%20CALIFORNIA\EXP%203%20OAS%20MEXICALI\9.-%20JUN%2021%20OF%206708%20CONTRATO.pdf" TargetMode="External"/><Relationship Id="rId1" Type="http://schemas.openxmlformats.org/officeDocument/2006/relationships/hyperlink" Target="file:///\\MTO02427WS12306\Users\gabriel.reyesp\Desktop\ARRENDAMIENTOS%202018\02%20BAJA%20CALIFORNIA\EXP%202%20CENTRO%20DE%20EXTENSION%20DE%20CONOCIMIENTOS%20Y%20ESQUEMA%20MODIFICADO%20ENSENADA\9.-%20JUN%2022%20OF%206781%20CONTRATO.pdf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file:///\\MTO02427WS12306\Users\gabriel.reyesp\Desktop\ARRENDAMIENTOS%202018\18%20MORELOS\EXP%203%20TIENDA%20CUERNAVACA\5.-%20MAY%2023%20OF%205292%20CONTRATO.pdf" TargetMode="External"/><Relationship Id="rId2" Type="http://schemas.openxmlformats.org/officeDocument/2006/relationships/hyperlink" Target="file:///\\MTO02427WS12306\Users\gabriel.reyesp\Desktop\ARRENDAMIENTOS%202018\18%20MORELOS\EXP%202%20UMF%2019%20TEPOZTLAN\8.-%20MAY%2025%20OF%205388%20CONTRATO.pdf" TargetMode="External"/><Relationship Id="rId1" Type="http://schemas.openxmlformats.org/officeDocument/2006/relationships/hyperlink" Target="file:///\\MTO02427WS12306\Users\gabriel.reyesp\Desktop\ARRENDAMIENTOS%202018\18%20MORELOS\EXP%201%20UMF%2015%20CUAUTLA\8.-%20MAY%2023%20OF%205291%20CONTRATO%20DOCTOS.pdf" TargetMode="External"/><Relationship Id="rId5" Type="http://schemas.openxmlformats.org/officeDocument/2006/relationships/drawing" Target="../drawings/drawing37.xml"/><Relationship Id="rId4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file:///\\MTO02427WS12306\Users\gabriel.reyesp\Desktop\ARRENDAMIENTOS%202018\18%20MORELOS\EXP%203%20TIENDA%20CUERNAVACA\5.-%20MAY%2023%20OF%205292%20CONTRATO.pdf" TargetMode="External"/><Relationship Id="rId2" Type="http://schemas.openxmlformats.org/officeDocument/2006/relationships/hyperlink" Target="file:///\\MTO02427WS12306\Users\gabriel.reyesp\Desktop\ARRENDAMIENTOS%202018\18%20MORELOS\EXP%202%20UMF%2019%20TEPOZTLAN\8.-%20MAY%2025%20OF%205388%20CONTRATO.pdf" TargetMode="External"/><Relationship Id="rId1" Type="http://schemas.openxmlformats.org/officeDocument/2006/relationships/hyperlink" Target="file:///\\MTO02427WS12306\Users\gabriel.reyesp\Desktop\ARRENDAMIENTOS%202018\18%20MORELOS\EXP%201%20UMF%2015%20CUAUTLA\8.-%20MAY%2023%20OF%205291%20CONTRATO%20DOCTOS.pdf" TargetMode="External"/><Relationship Id="rId5" Type="http://schemas.openxmlformats.org/officeDocument/2006/relationships/drawing" Target="../drawings/drawing38.xml"/><Relationship Id="rId4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file:///\\MTO02427WS12306\Users\gabriel.reyesp\Desktop\ARRENDAMIENTOS%202018\01%20AGUASCALIENTES\EXP%203%20CC\14.-%20JUL%2023%20OF%208454%20CONTRATO.pdf" TargetMode="External"/><Relationship Id="rId2" Type="http://schemas.openxmlformats.org/officeDocument/2006/relationships/hyperlink" Target="file:///\\MTO02427WS12306\Users\gabriel.reyesp\Desktop\ARRENDAMIENTOS%202018\01%20AGUASCALIENTES\EXP%202%20OAS%20METROPOLITANA%20SUR\15.-%20JUL%2023%20OF%208577%20CONTRATO.pdf" TargetMode="External"/><Relationship Id="rId1" Type="http://schemas.openxmlformats.org/officeDocument/2006/relationships/hyperlink" Target="file:///\\MTO02430WSGGP2\Users\mauricio.flores\AppData\Roaming\ARRENDAMIENTOS%202017\AGUASCALIENTES%202017\EXP%201%20OAS%20METROPOLITANA%20NORTE" TargetMode="External"/><Relationship Id="rId6" Type="http://schemas.openxmlformats.org/officeDocument/2006/relationships/drawing" Target="../drawings/drawing41.xml"/><Relationship Id="rId5" Type="http://schemas.openxmlformats.org/officeDocument/2006/relationships/printerSettings" Target="../printerSettings/printerSettings41.bin"/><Relationship Id="rId4" Type="http://schemas.openxmlformats.org/officeDocument/2006/relationships/hyperlink" Target="file:///\\MTO02427WS12306\Users\gabriel.reyesp\Desktop\ARRENDAMIENTOS%202018\01%20AGUASCALIENTES\EXP%204%20ALMACEN%20DELEGACIONAL,%20BBE,%20ARCHIVO%20Y%20OFICINAS\20.-%20JUL%2023%20OF%208453%20CONTRATO.pdf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view="pageBreakPreview" topLeftCell="A62" zoomScaleNormal="100" zoomScaleSheetLayoutView="100" zoomScalePageLayoutView="80" workbookViewId="0">
      <selection activeCell="E46" sqref="E46"/>
    </sheetView>
  </sheetViews>
  <sheetFormatPr baseColWidth="10" defaultRowHeight="15" x14ac:dyDescent="0.25"/>
  <cols>
    <col min="1" max="1" width="34.140625" customWidth="1"/>
    <col min="2" max="2" width="13" style="1" customWidth="1"/>
    <col min="3" max="3" width="21.140625" customWidth="1"/>
    <col min="4" max="4" width="20.28515625" customWidth="1"/>
    <col min="5" max="5" width="19.42578125" customWidth="1"/>
    <col min="6" max="6" width="18.85546875" customWidth="1"/>
    <col min="7" max="7" width="11.7109375" customWidth="1"/>
    <col min="8" max="8" width="10.28515625" customWidth="1"/>
    <col min="9" max="9" width="62.28515625" hidden="1" customWidth="1"/>
    <col min="10" max="10" width="28" customWidth="1"/>
    <col min="11" max="16360" width="11.42578125" customWidth="1"/>
  </cols>
  <sheetData>
    <row r="1" spans="1:10" ht="18" x14ac:dyDescent="0.25">
      <c r="A1" s="10" t="s">
        <v>25</v>
      </c>
      <c r="I1" s="11"/>
    </row>
    <row r="2" spans="1:10" ht="18" x14ac:dyDescent="0.25">
      <c r="A2" s="10" t="s">
        <v>24</v>
      </c>
    </row>
    <row r="3" spans="1:10" ht="18" x14ac:dyDescent="0.25">
      <c r="A3" s="10" t="s">
        <v>23</v>
      </c>
    </row>
    <row r="4" spans="1:10" ht="18" x14ac:dyDescent="0.25">
      <c r="A4" s="10" t="s">
        <v>22</v>
      </c>
      <c r="G4" s="9"/>
      <c r="H4" s="9"/>
    </row>
    <row r="5" spans="1:10" ht="18" x14ac:dyDescent="0.25">
      <c r="A5" s="10" t="s">
        <v>21</v>
      </c>
    </row>
    <row r="6" spans="1:10" ht="20.25" x14ac:dyDescent="0.3">
      <c r="A6" s="14" t="s">
        <v>20</v>
      </c>
      <c r="B6" s="15"/>
      <c r="C6" s="16"/>
      <c r="D6" s="17"/>
      <c r="E6" s="17"/>
      <c r="F6" s="17"/>
      <c r="G6" s="17"/>
      <c r="H6" s="17"/>
      <c r="I6" s="17"/>
    </row>
    <row r="7" spans="1:10" ht="21" x14ac:dyDescent="0.35">
      <c r="A7" s="826" t="s">
        <v>61</v>
      </c>
      <c r="B7" s="826"/>
      <c r="C7" s="826"/>
      <c r="D7" s="826"/>
      <c r="E7" s="826"/>
      <c r="F7" s="826"/>
      <c r="G7" s="826"/>
      <c r="H7" s="826"/>
      <c r="I7" s="826"/>
    </row>
    <row r="8" spans="1:10" ht="15.75" thickBot="1" x14ac:dyDescent="0.3">
      <c r="E8" s="90" t="s">
        <v>116</v>
      </c>
      <c r="F8" s="827" t="str">
        <f>RIGHT(AVANCE060826!C1,11)</f>
        <v xml:space="preserve"> 07/10/2026</v>
      </c>
      <c r="G8" s="827"/>
      <c r="H8" s="827"/>
      <c r="I8" s="91"/>
    </row>
    <row r="9" spans="1:10" ht="31.5" customHeight="1" x14ac:dyDescent="0.25">
      <c r="A9" s="828" t="s">
        <v>117</v>
      </c>
      <c r="B9" s="830" t="s">
        <v>118</v>
      </c>
      <c r="C9" s="832" t="s">
        <v>90</v>
      </c>
      <c r="D9" s="833"/>
      <c r="E9" s="834"/>
      <c r="F9" s="835" t="s">
        <v>27</v>
      </c>
      <c r="G9" s="836"/>
      <c r="H9" s="837" t="s">
        <v>28</v>
      </c>
      <c r="I9" s="839" t="s">
        <v>14</v>
      </c>
    </row>
    <row r="10" spans="1:10" ht="48" customHeight="1" thickBot="1" x14ac:dyDescent="0.3">
      <c r="A10" s="829"/>
      <c r="B10" s="831"/>
      <c r="C10" s="46" t="s">
        <v>119</v>
      </c>
      <c r="D10" s="92" t="s">
        <v>91</v>
      </c>
      <c r="E10" s="71" t="s">
        <v>92</v>
      </c>
      <c r="F10" s="72" t="s">
        <v>962</v>
      </c>
      <c r="G10" s="26" t="s">
        <v>29</v>
      </c>
      <c r="H10" s="838"/>
      <c r="I10" s="840"/>
    </row>
    <row r="11" spans="1:10" ht="28.5" x14ac:dyDescent="0.25">
      <c r="A11" s="93" t="s">
        <v>30</v>
      </c>
      <c r="B11" s="94">
        <f>+[1]AGS!$B$18</f>
        <v>6</v>
      </c>
      <c r="C11" s="95">
        <f>'AGS '!F18</f>
        <v>13670291.620000001</v>
      </c>
      <c r="D11" s="95">
        <f ca="1">'AGS '!H18</f>
        <v>10249560</v>
      </c>
      <c r="E11" s="96">
        <f>'AGS '!I18</f>
        <v>9109269.3300000001</v>
      </c>
      <c r="F11" s="73">
        <f ca="1">D11-E11</f>
        <v>1140290.67</v>
      </c>
      <c r="G11" s="74">
        <f ca="1">IF(E11=0,0,+F11/D11*100)</f>
        <v>11.125264596724152</v>
      </c>
      <c r="H11" s="75">
        <f ca="1">IF(E11=0,0,+E11/D11*100)</f>
        <v>88.874735403275849</v>
      </c>
      <c r="I11" s="97" t="s">
        <v>120</v>
      </c>
      <c r="J11" s="9"/>
    </row>
    <row r="12" spans="1:10" x14ac:dyDescent="0.25">
      <c r="A12" s="93" t="s">
        <v>121</v>
      </c>
      <c r="B12" s="94">
        <f>+[2]BC!$B$14</f>
        <v>1</v>
      </c>
      <c r="C12" s="95">
        <f>BC!F14</f>
        <v>4593600</v>
      </c>
      <c r="D12" s="95">
        <f ca="1">BC!H14</f>
        <v>3445200</v>
      </c>
      <c r="E12" s="95">
        <f>BC!I14</f>
        <v>3062400</v>
      </c>
      <c r="F12" s="65">
        <f t="shared" ref="F12:F46" ca="1" si="0">D12-E12</f>
        <v>382800</v>
      </c>
      <c r="G12" s="74">
        <f t="shared" ref="G12:G47" ca="1" si="1">IF(E12=0,0,+F12/D12*100)</f>
        <v>11.111111111111111</v>
      </c>
      <c r="H12" s="75">
        <f t="shared" ref="H12:H47" ca="1" si="2">IF(E12=0,0,+E12/D12*100)</f>
        <v>88.888888888888886</v>
      </c>
      <c r="I12" s="99"/>
      <c r="J12" s="9"/>
    </row>
    <row r="13" spans="1:10" x14ac:dyDescent="0.25">
      <c r="A13" s="100" t="s">
        <v>122</v>
      </c>
      <c r="B13" s="94">
        <f>+'[3]BCS '!$B$17</f>
        <v>5</v>
      </c>
      <c r="C13" s="95">
        <f>'BCS '!F17</f>
        <v>5760825.5999999996</v>
      </c>
      <c r="D13" s="95">
        <f ca="1">'BCS '!H17</f>
        <v>4320621</v>
      </c>
      <c r="E13" s="95">
        <f>'BCS '!I17</f>
        <v>3933484.26</v>
      </c>
      <c r="F13" s="65">
        <f t="shared" ca="1" si="0"/>
        <v>387136.74000000022</v>
      </c>
      <c r="G13" s="74">
        <f t="shared" ca="1" si="1"/>
        <v>8.9602105808401209</v>
      </c>
      <c r="H13" s="75">
        <f t="shared" ca="1" si="2"/>
        <v>91.039789419159874</v>
      </c>
      <c r="I13" s="99"/>
      <c r="J13" s="9"/>
    </row>
    <row r="14" spans="1:10" x14ac:dyDescent="0.25">
      <c r="A14" s="100" t="s">
        <v>123</v>
      </c>
      <c r="B14" s="94">
        <f>+[4]CAM!$B$13</f>
        <v>1</v>
      </c>
      <c r="C14" s="95">
        <f>CAM!F13</f>
        <v>160550</v>
      </c>
      <c r="D14" s="95">
        <f ca="1">CAM!H13</f>
        <v>117000</v>
      </c>
      <c r="E14" s="95">
        <f>CAM!I13</f>
        <v>104000</v>
      </c>
      <c r="F14" s="65">
        <f t="shared" ca="1" si="0"/>
        <v>13000</v>
      </c>
      <c r="G14" s="74">
        <f t="shared" ca="1" si="1"/>
        <v>11.111111111111111</v>
      </c>
      <c r="H14" s="75">
        <f t="shared" ca="1" si="2"/>
        <v>88.888888888888886</v>
      </c>
      <c r="I14" s="99"/>
      <c r="J14" s="9"/>
    </row>
    <row r="15" spans="1:10" x14ac:dyDescent="0.25">
      <c r="A15" s="93" t="s">
        <v>124</v>
      </c>
      <c r="B15" s="94">
        <f>+[5]COAH!$B$21</f>
        <v>7</v>
      </c>
      <c r="C15" s="95">
        <f>COAH!F21</f>
        <v>23746645</v>
      </c>
      <c r="D15" s="95">
        <f ca="1">COAH!H21</f>
        <v>17809992</v>
      </c>
      <c r="E15" s="95">
        <f>COAH!I21</f>
        <v>14161948.450000001</v>
      </c>
      <c r="F15" s="65">
        <f t="shared" ca="1" si="0"/>
        <v>3648043.5499999989</v>
      </c>
      <c r="G15" s="74">
        <f t="shared" ca="1" si="1"/>
        <v>20.483128515723077</v>
      </c>
      <c r="H15" s="75">
        <f t="shared" ca="1" si="2"/>
        <v>79.516871484276919</v>
      </c>
      <c r="I15" s="99"/>
      <c r="J15" s="9"/>
    </row>
    <row r="16" spans="1:10" x14ac:dyDescent="0.25">
      <c r="A16" s="93" t="s">
        <v>125</v>
      </c>
      <c r="B16" s="94">
        <f>+[6]COL!$B$17</f>
        <v>5</v>
      </c>
      <c r="C16" s="95">
        <f>COL!F17</f>
        <v>2598987.7199999997</v>
      </c>
      <c r="D16" s="95">
        <f ca="1">COL!H17</f>
        <v>1949256</v>
      </c>
      <c r="E16" s="95">
        <f>COL!I17</f>
        <v>1949240.44</v>
      </c>
      <c r="F16" s="65">
        <f t="shared" ca="1" si="0"/>
        <v>15.560000000055879</v>
      </c>
      <c r="G16" s="74">
        <f t="shared" ca="1" si="1"/>
        <v>7.9825328228082292E-4</v>
      </c>
      <c r="H16" s="75">
        <f t="shared" ca="1" si="2"/>
        <v>99.999201746717716</v>
      </c>
      <c r="I16" s="99"/>
      <c r="J16" s="9"/>
    </row>
    <row r="17" spans="1:10" x14ac:dyDescent="0.25">
      <c r="A17" s="93" t="s">
        <v>126</v>
      </c>
      <c r="B17" s="94">
        <f>+[7]CHIS!$B$24</f>
        <v>10</v>
      </c>
      <c r="C17" s="95">
        <f>CHIS!F24</f>
        <v>3083016</v>
      </c>
      <c r="D17" s="95">
        <f ca="1">CHIS!H24</f>
        <v>2278287</v>
      </c>
      <c r="E17" s="95">
        <f>CHIS!I24</f>
        <v>1989287.6800000002</v>
      </c>
      <c r="F17" s="65">
        <f t="shared" ca="1" si="0"/>
        <v>288999.31999999983</v>
      </c>
      <c r="G17" s="74">
        <f t="shared" ca="1" si="1"/>
        <v>12.684939167014509</v>
      </c>
      <c r="H17" s="75">
        <f t="shared" ca="1" si="2"/>
        <v>87.315060832985495</v>
      </c>
      <c r="I17" s="99"/>
      <c r="J17" s="9"/>
    </row>
    <row r="18" spans="1:10" x14ac:dyDescent="0.25">
      <c r="A18" s="93" t="s">
        <v>127</v>
      </c>
      <c r="B18" s="94">
        <f>+[8]CHIH!$B$28</f>
        <v>16</v>
      </c>
      <c r="C18" s="95">
        <f>CHIH!F28</f>
        <v>6820797.8399999999</v>
      </c>
      <c r="D18" s="95">
        <f ca="1">CHIH!H28</f>
        <v>5401333</v>
      </c>
      <c r="E18" s="95">
        <f ca="1">CHIH!I28</f>
        <v>4418722.74</v>
      </c>
      <c r="F18" s="65">
        <f t="shared" ca="1" si="0"/>
        <v>982610.25999999978</v>
      </c>
      <c r="G18" s="74">
        <f t="shared" ca="1" si="1"/>
        <v>18.191995568501326</v>
      </c>
      <c r="H18" s="75">
        <f t="shared" ca="1" si="2"/>
        <v>81.808004431498674</v>
      </c>
      <c r="I18" s="101"/>
      <c r="J18" s="9"/>
    </row>
    <row r="19" spans="1:10" x14ac:dyDescent="0.25">
      <c r="A19" s="93" t="s">
        <v>128</v>
      </c>
      <c r="B19" s="94">
        <f>+[9]NC!$B$19</f>
        <v>7</v>
      </c>
      <c r="C19" s="95">
        <f>NC!F20</f>
        <v>160701528.85000002</v>
      </c>
      <c r="D19" s="95">
        <f ca="1">NC!H20</f>
        <v>124562275.61</v>
      </c>
      <c r="E19" s="95">
        <f>NC!I20</f>
        <v>84903346.114800006</v>
      </c>
      <c r="F19" s="65">
        <f t="shared" ca="1" si="0"/>
        <v>39658929.495199993</v>
      </c>
      <c r="G19" s="74">
        <f ca="1">IF(E19=0,0,+F19/D18*100)</f>
        <v>734.24337094565351</v>
      </c>
      <c r="H19" s="75">
        <f t="shared" ca="1" si="2"/>
        <v>68.16136402375092</v>
      </c>
      <c r="I19" s="99"/>
      <c r="J19" s="9"/>
    </row>
    <row r="20" spans="1:10" ht="15.75" thickBot="1" x14ac:dyDescent="0.3">
      <c r="A20" s="93" t="s">
        <v>129</v>
      </c>
      <c r="B20" s="94">
        <f>+[10]DGO!$B$27</f>
        <v>12</v>
      </c>
      <c r="C20" s="95">
        <f>DGO!F27</f>
        <v>18811488.199999999</v>
      </c>
      <c r="D20" s="95">
        <f ca="1">DGO!H27</f>
        <v>14217601</v>
      </c>
      <c r="E20" s="95">
        <f>DGO!I27</f>
        <v>13448301.619999997</v>
      </c>
      <c r="F20" s="65">
        <f t="shared" ca="1" si="0"/>
        <v>769299.38000000268</v>
      </c>
      <c r="G20" s="74">
        <f t="shared" ca="1" si="1"/>
        <v>5.410894425859909</v>
      </c>
      <c r="H20" s="75">
        <f t="shared" ca="1" si="2"/>
        <v>94.589105574140092</v>
      </c>
      <c r="I20" s="99"/>
      <c r="J20" s="9"/>
    </row>
    <row r="21" spans="1:10" ht="28.5" x14ac:dyDescent="0.25">
      <c r="A21" s="93" t="s">
        <v>130</v>
      </c>
      <c r="B21" s="94">
        <f>+[11]GTO!$B$24</f>
        <v>12</v>
      </c>
      <c r="C21" s="95">
        <f>GTO!F24</f>
        <v>8160000</v>
      </c>
      <c r="D21" s="95">
        <f ca="1">GTO!H24</f>
        <v>6120000</v>
      </c>
      <c r="E21" s="98">
        <f>GTO!I24</f>
        <v>5288984.5500000007</v>
      </c>
      <c r="F21" s="73">
        <f t="shared" ca="1" si="0"/>
        <v>831015.44999999925</v>
      </c>
      <c r="G21" s="74">
        <f t="shared" ca="1" si="1"/>
        <v>13.578683823529399</v>
      </c>
      <c r="H21" s="75">
        <f t="shared" ca="1" si="2"/>
        <v>86.421316176470597</v>
      </c>
      <c r="I21" s="97" t="s">
        <v>120</v>
      </c>
      <c r="J21" s="9"/>
    </row>
    <row r="22" spans="1:10" ht="15.75" thickBot="1" x14ac:dyDescent="0.3">
      <c r="A22" s="93" t="s">
        <v>131</v>
      </c>
      <c r="B22" s="94">
        <f>+[12]GRO!$B$19</f>
        <v>5</v>
      </c>
      <c r="C22" s="95">
        <f>GRO!F19</f>
        <v>611115.84</v>
      </c>
      <c r="D22" s="95">
        <f ca="1">GRO!H19</f>
        <v>458336.88</v>
      </c>
      <c r="E22" s="98">
        <f>GRO!I19</f>
        <v>407407.31000000006</v>
      </c>
      <c r="F22" s="73">
        <f t="shared" ca="1" si="0"/>
        <v>50929.569999999949</v>
      </c>
      <c r="G22" s="74">
        <f t="shared" ca="1" si="1"/>
        <v>11.111820196533159</v>
      </c>
      <c r="H22" s="75">
        <f t="shared" ca="1" si="2"/>
        <v>88.888179803466841</v>
      </c>
      <c r="I22" s="99"/>
      <c r="J22" s="9"/>
    </row>
    <row r="23" spans="1:10" ht="28.5" x14ac:dyDescent="0.25">
      <c r="A23" s="93" t="s">
        <v>132</v>
      </c>
      <c r="B23" s="94">
        <v>3</v>
      </c>
      <c r="C23" s="95">
        <f>HGO!F16</f>
        <v>17611862.246399999</v>
      </c>
      <c r="D23" s="95">
        <f ca="1">HGO!H16</f>
        <v>14482437.075199999</v>
      </c>
      <c r="E23" s="98">
        <f>HGO!I16</f>
        <v>11353006.869999999</v>
      </c>
      <c r="F23" s="73">
        <f t="shared" ca="1" si="0"/>
        <v>3129430.2051999997</v>
      </c>
      <c r="G23" s="74">
        <f t="shared" ca="1" si="1"/>
        <v>21.608450214217715</v>
      </c>
      <c r="H23" s="75">
        <f t="shared" ca="1" si="2"/>
        <v>78.391549785782288</v>
      </c>
      <c r="I23" s="97" t="s">
        <v>120</v>
      </c>
      <c r="J23" s="9"/>
    </row>
    <row r="24" spans="1:10" ht="15.75" thickBot="1" x14ac:dyDescent="0.3">
      <c r="A24" s="93" t="s">
        <v>133</v>
      </c>
      <c r="B24" s="94">
        <f>+[13]JAL!$B$46</f>
        <v>33</v>
      </c>
      <c r="C24" s="95">
        <f>JAL!F46</f>
        <v>36492928.850000001</v>
      </c>
      <c r="D24" s="95">
        <f ca="1">JAL!H46</f>
        <v>27069662.900000002</v>
      </c>
      <c r="E24" s="98">
        <f>JAL!I46</f>
        <v>26537616.080000006</v>
      </c>
      <c r="F24" s="73">
        <f t="shared" ca="1" si="0"/>
        <v>532046.81999999657</v>
      </c>
      <c r="G24" s="74">
        <f t="shared" ca="1" si="1"/>
        <v>1.9654726472415605</v>
      </c>
      <c r="H24" s="75">
        <f t="shared" ca="1" si="2"/>
        <v>98.034527352758431</v>
      </c>
      <c r="I24" s="99"/>
      <c r="J24" s="9"/>
    </row>
    <row r="25" spans="1:10" ht="28.5" x14ac:dyDescent="0.25">
      <c r="A25" s="100" t="s">
        <v>134</v>
      </c>
      <c r="B25" s="94">
        <f>+'[14]EDO MEX OTE'!$B$13</f>
        <v>1</v>
      </c>
      <c r="C25" s="95">
        <f>'EDO MEX OTE'!F13</f>
        <v>23056541.640000001</v>
      </c>
      <c r="D25" s="95">
        <f ca="1">'EDO MEX OTE'!H13</f>
        <v>17292411</v>
      </c>
      <c r="E25" s="98">
        <f>'EDO MEX OTE'!I13</f>
        <v>15371027.760000002</v>
      </c>
      <c r="F25" s="73">
        <f t="shared" ca="1" si="0"/>
        <v>1921383.2399999984</v>
      </c>
      <c r="G25" s="74">
        <f t="shared" ca="1" si="1"/>
        <v>11.111135630537571</v>
      </c>
      <c r="H25" s="75">
        <f t="shared" ca="1" si="2"/>
        <v>88.888864369462425</v>
      </c>
      <c r="I25" s="97" t="s">
        <v>120</v>
      </c>
      <c r="J25" s="9"/>
    </row>
    <row r="26" spans="1:10" ht="30" x14ac:dyDescent="0.25">
      <c r="A26" s="100" t="s">
        <v>135</v>
      </c>
      <c r="B26" s="94">
        <f>+'[15]EDO MEX PTE'!$B$22</f>
        <v>9</v>
      </c>
      <c r="C26" s="95">
        <f>'EDO MEX PTE'!F22</f>
        <v>18612408</v>
      </c>
      <c r="D26" s="95">
        <f ca="1">'EDO MEX PTE'!H22</f>
        <v>13959306</v>
      </c>
      <c r="E26" s="98">
        <f>'EDO MEX PTE'!I22</f>
        <v>12342134.35</v>
      </c>
      <c r="F26" s="73">
        <f t="shared" ca="1" si="0"/>
        <v>1617171.6500000004</v>
      </c>
      <c r="G26" s="74">
        <f t="shared" ca="1" si="1"/>
        <v>11.58490006594884</v>
      </c>
      <c r="H26" s="75">
        <f t="shared" ca="1" si="2"/>
        <v>88.415099934051156</v>
      </c>
      <c r="I26" s="99"/>
      <c r="J26" s="9"/>
    </row>
    <row r="27" spans="1:10" ht="15.75" thickBot="1" x14ac:dyDescent="0.3">
      <c r="A27" s="93" t="s">
        <v>136</v>
      </c>
      <c r="B27" s="94">
        <f>+[16]MICH!$B$20</f>
        <v>7</v>
      </c>
      <c r="C27" s="95">
        <f>MICH!F20</f>
        <v>4809848.17</v>
      </c>
      <c r="D27" s="95">
        <f ca="1">MICH!H20</f>
        <v>3607389</v>
      </c>
      <c r="E27" s="98">
        <f>MICH!I20</f>
        <v>2660360.4799999995</v>
      </c>
      <c r="F27" s="73">
        <f t="shared" ca="1" si="0"/>
        <v>947028.52000000048</v>
      </c>
      <c r="G27" s="74">
        <f t="shared" ca="1" si="1"/>
        <v>26.252464594198198</v>
      </c>
      <c r="H27" s="75">
        <f t="shared" ca="1" si="2"/>
        <v>73.747535405801798</v>
      </c>
      <c r="I27" s="99"/>
      <c r="J27" s="9"/>
    </row>
    <row r="28" spans="1:10" ht="29.25" thickBot="1" x14ac:dyDescent="0.3">
      <c r="A28" s="93" t="s">
        <v>137</v>
      </c>
      <c r="B28" s="94">
        <f>+[17]MOR!$B$16</f>
        <v>2</v>
      </c>
      <c r="C28" s="95">
        <f>MOR!F16</f>
        <v>238270.56</v>
      </c>
      <c r="D28" s="95">
        <f ca="1">MOR!H16</f>
        <v>178704</v>
      </c>
      <c r="E28" s="98">
        <f>MOR!I16</f>
        <v>158704.94</v>
      </c>
      <c r="F28" s="73">
        <f t="shared" ca="1" si="0"/>
        <v>19999.059999999998</v>
      </c>
      <c r="G28" s="74">
        <f t="shared" ca="1" si="1"/>
        <v>11.191165278896946</v>
      </c>
      <c r="H28" s="75">
        <f t="shared" ca="1" si="2"/>
        <v>88.808834721103054</v>
      </c>
      <c r="I28" s="97" t="s">
        <v>120</v>
      </c>
      <c r="J28" s="9"/>
    </row>
    <row r="29" spans="1:10" ht="29.25" thickBot="1" x14ac:dyDescent="0.3">
      <c r="A29" s="93" t="s">
        <v>138</v>
      </c>
      <c r="B29" s="94">
        <f>+[18]NAY!$B$14</f>
        <v>2</v>
      </c>
      <c r="C29" s="95">
        <f>NAY!F14</f>
        <v>625728</v>
      </c>
      <c r="D29" s="95">
        <f ca="1">NAY!H14</f>
        <v>469296</v>
      </c>
      <c r="E29" s="98">
        <f>NAY!I14</f>
        <v>469296</v>
      </c>
      <c r="F29" s="73">
        <f t="shared" ca="1" si="0"/>
        <v>0</v>
      </c>
      <c r="G29" s="74">
        <f t="shared" ca="1" si="1"/>
        <v>0</v>
      </c>
      <c r="H29" s="75">
        <f t="shared" ca="1" si="2"/>
        <v>100</v>
      </c>
      <c r="I29" s="97" t="s">
        <v>120</v>
      </c>
      <c r="J29" s="9"/>
    </row>
    <row r="30" spans="1:10" ht="28.5" x14ac:dyDescent="0.25">
      <c r="A30" s="93" t="s">
        <v>139</v>
      </c>
      <c r="B30" s="94">
        <f>+[19]NL!$B$18</f>
        <v>4</v>
      </c>
      <c r="C30" s="95">
        <f>NL!F18</f>
        <v>2689984.58</v>
      </c>
      <c r="D30" s="95">
        <f ca="1">NL!H18</f>
        <v>2008923</v>
      </c>
      <c r="E30" s="98">
        <f>NL!I18</f>
        <v>2008911.86</v>
      </c>
      <c r="F30" s="73">
        <f t="shared" ca="1" si="0"/>
        <v>11.139999999897555</v>
      </c>
      <c r="G30" s="74">
        <f t="shared" ca="1" si="1"/>
        <v>5.5452598232473593E-4</v>
      </c>
      <c r="H30" s="75">
        <f t="shared" ca="1" si="2"/>
        <v>99.999445474017676</v>
      </c>
      <c r="I30" s="97" t="s">
        <v>120</v>
      </c>
      <c r="J30" s="9"/>
    </row>
    <row r="31" spans="1:10" x14ac:dyDescent="0.25">
      <c r="A31" s="93" t="s">
        <v>140</v>
      </c>
      <c r="B31" s="94">
        <f>+[20]OAX!$B$32</f>
        <v>17</v>
      </c>
      <c r="C31" s="95">
        <f>OAX!F32</f>
        <v>13923199.419999998</v>
      </c>
      <c r="D31" s="95">
        <f ca="1">OAX!H32</f>
        <v>10347693</v>
      </c>
      <c r="E31" s="98">
        <f>OAX!I32</f>
        <v>9560439.5399999991</v>
      </c>
      <c r="F31" s="73">
        <f t="shared" ca="1" si="0"/>
        <v>787253.46000000089</v>
      </c>
      <c r="G31" s="74">
        <f t="shared" ca="1" si="1"/>
        <v>7.6080094374659248</v>
      </c>
      <c r="H31" s="75">
        <f t="shared" ca="1" si="2"/>
        <v>92.391990562534076</v>
      </c>
      <c r="I31" s="99"/>
      <c r="J31" s="9"/>
    </row>
    <row r="32" spans="1:10" x14ac:dyDescent="0.25">
      <c r="A32" s="93" t="s">
        <v>141</v>
      </c>
      <c r="B32" s="94">
        <f>+[21]PUB!$B$22</f>
        <v>10</v>
      </c>
      <c r="C32" s="95">
        <f>PUB!F22</f>
        <v>4580850</v>
      </c>
      <c r="D32" s="95">
        <f ca="1">PUB!H22</f>
        <v>3397661</v>
      </c>
      <c r="E32" s="98">
        <f>PUB!I22</f>
        <v>3238390.97</v>
      </c>
      <c r="F32" s="73">
        <f t="shared" ca="1" si="0"/>
        <v>159270.0299999998</v>
      </c>
      <c r="G32" s="74">
        <f t="shared" ca="1" si="1"/>
        <v>4.6876374658919708</v>
      </c>
      <c r="H32" s="75">
        <f t="shared" ca="1" si="2"/>
        <v>95.312362534108033</v>
      </c>
      <c r="I32" s="99"/>
      <c r="J32" s="9"/>
    </row>
    <row r="33" spans="1:10" x14ac:dyDescent="0.25">
      <c r="A33" s="93" t="s">
        <v>142</v>
      </c>
      <c r="B33" s="94">
        <f>+[22]QRO!$B$18</f>
        <v>6</v>
      </c>
      <c r="C33" s="95">
        <f>QRO!F18</f>
        <v>7961088</v>
      </c>
      <c r="D33" s="95">
        <f ca="1">QRO!H18</f>
        <v>5970816</v>
      </c>
      <c r="E33" s="98">
        <f>QRO!I18</f>
        <v>5834835.9899999993</v>
      </c>
      <c r="F33" s="73">
        <f t="shared" ca="1" si="0"/>
        <v>135980.01000000071</v>
      </c>
      <c r="G33" s="74">
        <f t="shared" ca="1" si="1"/>
        <v>2.2774108262589356</v>
      </c>
      <c r="H33" s="75">
        <f t="shared" ca="1" si="2"/>
        <v>97.722589173741071</v>
      </c>
      <c r="I33" s="99"/>
      <c r="J33" s="9"/>
    </row>
    <row r="34" spans="1:10" x14ac:dyDescent="0.25">
      <c r="A34" s="93" t="s">
        <v>143</v>
      </c>
      <c r="B34" s="102">
        <f>+'[23]Q ROO'!$B$16</f>
        <v>4</v>
      </c>
      <c r="C34" s="95">
        <f>'Q ROO'!F16</f>
        <v>6001790.0399999991</v>
      </c>
      <c r="D34" s="95">
        <f ca="1">'Q ROO'!H16</f>
        <v>4134540</v>
      </c>
      <c r="E34" s="98">
        <f>'Q ROO'!I16</f>
        <v>3371262.99</v>
      </c>
      <c r="F34" s="73">
        <f t="shared" ca="1" si="0"/>
        <v>763277.00999999978</v>
      </c>
      <c r="G34" s="74">
        <f t="shared" ca="1" si="1"/>
        <v>18.46098985618714</v>
      </c>
      <c r="H34" s="75">
        <f t="shared" ca="1" si="2"/>
        <v>81.53901014381286</v>
      </c>
      <c r="I34" s="99"/>
      <c r="J34" s="9"/>
    </row>
    <row r="35" spans="1:10" ht="31.5" customHeight="1" x14ac:dyDescent="0.25">
      <c r="A35" s="93" t="s">
        <v>144</v>
      </c>
      <c r="B35" s="94">
        <f>+[24]SLP!$B$17</f>
        <v>5</v>
      </c>
      <c r="C35" s="95">
        <f>SLP!F17</f>
        <v>803085.51</v>
      </c>
      <c r="D35" s="95">
        <f ca="1">SLP!H17</f>
        <v>602322.59000000008</v>
      </c>
      <c r="E35" s="98">
        <f>SLP!I17</f>
        <v>552805.03</v>
      </c>
      <c r="F35" s="73">
        <f t="shared" ca="1" si="0"/>
        <v>49517.560000000056</v>
      </c>
      <c r="G35" s="74">
        <f t="shared" ca="1" si="1"/>
        <v>8.2211029143037866</v>
      </c>
      <c r="H35" s="75">
        <f t="shared" ca="1" si="2"/>
        <v>91.778897085696215</v>
      </c>
      <c r="I35" s="99"/>
      <c r="J35" s="9"/>
    </row>
    <row r="36" spans="1:10" ht="31.5" customHeight="1" x14ac:dyDescent="0.25">
      <c r="A36" s="93" t="s">
        <v>145</v>
      </c>
      <c r="B36" s="94">
        <f>+[25]SIN!$B$26</f>
        <v>14</v>
      </c>
      <c r="C36" s="95">
        <f>SIN!F26</f>
        <v>11796792.48</v>
      </c>
      <c r="D36" s="95">
        <f ca="1">SIN!H26</f>
        <v>9787202.0099999998</v>
      </c>
      <c r="E36" s="98">
        <f>SIN!I26</f>
        <v>8749229.5500000007</v>
      </c>
      <c r="F36" s="73">
        <f t="shared" ca="1" si="0"/>
        <v>1037972.459999999</v>
      </c>
      <c r="G36" s="74">
        <f t="shared" ca="1" si="1"/>
        <v>10.605405497295942</v>
      </c>
      <c r="H36" s="75">
        <f t="shared" ca="1" si="2"/>
        <v>89.394594502704066</v>
      </c>
      <c r="I36" s="99"/>
      <c r="J36" s="9"/>
    </row>
    <row r="37" spans="1:10" ht="15.75" thickBot="1" x14ac:dyDescent="0.3">
      <c r="A37" s="93" t="s">
        <v>146</v>
      </c>
      <c r="B37" s="94">
        <f>+[26]SON!$B$29</f>
        <v>17</v>
      </c>
      <c r="C37" s="95">
        <f>SON!F29</f>
        <v>16352591.09</v>
      </c>
      <c r="D37" s="95">
        <f ca="1">SON!H29</f>
        <v>12331739.241666667</v>
      </c>
      <c r="E37" s="98">
        <f>SON!I29</f>
        <v>10802859.350000001</v>
      </c>
      <c r="F37" s="73">
        <f t="shared" ca="1" si="0"/>
        <v>1528879.8916666657</v>
      </c>
      <c r="G37" s="74">
        <f t="shared" ca="1" si="1"/>
        <v>12.397925886243712</v>
      </c>
      <c r="H37" s="75">
        <f t="shared" ca="1" si="2"/>
        <v>87.602074113756288</v>
      </c>
      <c r="I37" s="99"/>
      <c r="J37" s="9"/>
    </row>
    <row r="38" spans="1:10" ht="28.5" x14ac:dyDescent="0.25">
      <c r="A38" s="93" t="s">
        <v>147</v>
      </c>
      <c r="B38" s="94">
        <f>+[27]TAB!$B$13</f>
        <v>1</v>
      </c>
      <c r="C38" s="95">
        <f>TAB!F13</f>
        <v>180000</v>
      </c>
      <c r="D38" s="95">
        <f ca="1">TAB!H13</f>
        <v>135000</v>
      </c>
      <c r="E38" s="98">
        <f>TAB!I13</f>
        <v>120000</v>
      </c>
      <c r="F38" s="73">
        <f t="shared" ca="1" si="0"/>
        <v>15000</v>
      </c>
      <c r="G38" s="74">
        <f t="shared" ca="1" si="1"/>
        <v>11.111111111111111</v>
      </c>
      <c r="H38" s="75">
        <f t="shared" ca="1" si="2"/>
        <v>88.888888888888886</v>
      </c>
      <c r="I38" s="97" t="s">
        <v>120</v>
      </c>
      <c r="J38" s="9"/>
    </row>
    <row r="39" spans="1:10" ht="15.75" thickBot="1" x14ac:dyDescent="0.3">
      <c r="A39" s="93" t="s">
        <v>148</v>
      </c>
      <c r="B39" s="94">
        <f>+[28]TAMS!$B$23</f>
        <v>10</v>
      </c>
      <c r="C39" s="95">
        <f>TAMS!F23</f>
        <v>4380423.49</v>
      </c>
      <c r="D39" s="95">
        <f ca="1">TAMS!H23</f>
        <v>3275146.6900000004</v>
      </c>
      <c r="E39" s="98">
        <f>TAMS!I23</f>
        <v>2918919.93</v>
      </c>
      <c r="F39" s="73">
        <f t="shared" ca="1" si="0"/>
        <v>356226.76000000024</v>
      </c>
      <c r="G39" s="74">
        <f t="shared" ca="1" si="1"/>
        <v>10.876665802104888</v>
      </c>
      <c r="H39" s="75">
        <f t="shared" ca="1" si="2"/>
        <v>89.123334197895105</v>
      </c>
      <c r="I39" s="99"/>
      <c r="J39" s="9"/>
    </row>
    <row r="40" spans="1:10" ht="28.5" x14ac:dyDescent="0.25">
      <c r="A40" s="93" t="s">
        <v>149</v>
      </c>
      <c r="B40" s="94">
        <f>+[29]TLAX!$B$14</f>
        <v>2</v>
      </c>
      <c r="C40" s="95">
        <f>TLAX!F14</f>
        <v>2311810.96</v>
      </c>
      <c r="D40" s="95">
        <f ca="1">TLAX!H14</f>
        <v>1733859</v>
      </c>
      <c r="E40" s="98">
        <f>TLAX!I14</f>
        <v>1541189.44</v>
      </c>
      <c r="F40" s="73">
        <f t="shared" ca="1" si="0"/>
        <v>192669.56000000006</v>
      </c>
      <c r="G40" s="74">
        <f t="shared" ca="1" si="1"/>
        <v>11.112181555708974</v>
      </c>
      <c r="H40" s="75">
        <f t="shared" ca="1" si="2"/>
        <v>88.887818444291028</v>
      </c>
      <c r="I40" s="97" t="s">
        <v>120</v>
      </c>
      <c r="J40" s="9"/>
    </row>
    <row r="41" spans="1:10" x14ac:dyDescent="0.25">
      <c r="A41" s="93" t="s">
        <v>150</v>
      </c>
      <c r="B41" s="94">
        <f>+'[30]VER NTE'!$B$26</f>
        <v>12</v>
      </c>
      <c r="C41" s="95">
        <f>'VER NTE'!F26</f>
        <v>12427939.5</v>
      </c>
      <c r="D41" s="95">
        <f ca="1">'VER NTE'!H26</f>
        <v>9300553.5999999996</v>
      </c>
      <c r="E41" s="98">
        <f>'VER NTE'!I26</f>
        <v>9267224.2999999989</v>
      </c>
      <c r="F41" s="73">
        <f t="shared" ca="1" si="0"/>
        <v>33329.300000000745</v>
      </c>
      <c r="G41" s="74">
        <f t="shared" ca="1" si="1"/>
        <v>0.35835823794403748</v>
      </c>
      <c r="H41" s="75">
        <f t="shared" ca="1" si="2"/>
        <v>99.641641762055968</v>
      </c>
      <c r="I41" s="99"/>
      <c r="J41" s="9"/>
    </row>
    <row r="42" spans="1:10" x14ac:dyDescent="0.25">
      <c r="A42" s="93" t="s">
        <v>151</v>
      </c>
      <c r="B42" s="94">
        <f>+'[31]VER SUR'!$B$23</f>
        <v>11</v>
      </c>
      <c r="C42" s="95">
        <f>'VER SUR'!F23</f>
        <v>9696573</v>
      </c>
      <c r="D42" s="95">
        <f ca="1">'VER SUR'!H23</f>
        <v>7178168.4000000004</v>
      </c>
      <c r="E42" s="98">
        <f>'VER SUR'!I23</f>
        <v>5625749.4199999999</v>
      </c>
      <c r="F42" s="73">
        <f t="shared" ca="1" si="0"/>
        <v>1552418.9800000004</v>
      </c>
      <c r="G42" s="74">
        <f t="shared" ca="1" si="1"/>
        <v>21.626951242882523</v>
      </c>
      <c r="H42" s="75">
        <f t="shared" ca="1" si="2"/>
        <v>78.373048757117488</v>
      </c>
      <c r="I42" s="99"/>
      <c r="J42" s="9"/>
    </row>
    <row r="43" spans="1:10" hidden="1" x14ac:dyDescent="0.25">
      <c r="A43" s="93" t="s">
        <v>152</v>
      </c>
      <c r="B43" s="94"/>
      <c r="C43" s="95"/>
      <c r="D43" s="95"/>
      <c r="E43" s="98"/>
      <c r="F43" s="73">
        <f t="shared" si="0"/>
        <v>0</v>
      </c>
      <c r="G43" s="74">
        <f t="shared" si="1"/>
        <v>0</v>
      </c>
      <c r="H43" s="75">
        <f t="shared" si="2"/>
        <v>0</v>
      </c>
      <c r="I43" s="99"/>
      <c r="J43" s="9"/>
    </row>
    <row r="44" spans="1:10" x14ac:dyDescent="0.25">
      <c r="A44" s="93" t="s">
        <v>153</v>
      </c>
      <c r="B44" s="94">
        <f>+[32]ZAC!$B$22</f>
        <v>10</v>
      </c>
      <c r="C44" s="95">
        <f>ZAC!F22</f>
        <v>3448845</v>
      </c>
      <c r="D44" s="95">
        <f ca="1">ZAC!H22</f>
        <v>2586636</v>
      </c>
      <c r="E44" s="98">
        <f>ZAC!I22</f>
        <v>2367850.8299999996</v>
      </c>
      <c r="F44" s="73">
        <f t="shared" ca="1" si="0"/>
        <v>218785.17000000039</v>
      </c>
      <c r="G44" s="74">
        <f t="shared" ca="1" si="1"/>
        <v>8.4582898405496714</v>
      </c>
      <c r="H44" s="75">
        <f t="shared" ca="1" si="2"/>
        <v>91.541710159450332</v>
      </c>
      <c r="I44" s="99"/>
      <c r="J44" s="9"/>
    </row>
    <row r="45" spans="1:10" ht="15.75" thickBot="1" x14ac:dyDescent="0.3">
      <c r="A45" s="93" t="s">
        <v>154</v>
      </c>
      <c r="B45" s="94">
        <f>+'[33]DF NTE'!$B$13</f>
        <v>1</v>
      </c>
      <c r="C45" s="95">
        <f>'DF NTE'!F13</f>
        <v>2254260</v>
      </c>
      <c r="D45" s="95">
        <f ca="1">'DF NTE'!H13</f>
        <v>1690694.9999999998</v>
      </c>
      <c r="E45" s="98">
        <f>'DF NTE'!I13</f>
        <v>1690687.6199999996</v>
      </c>
      <c r="F45" s="73">
        <f t="shared" ca="1" si="0"/>
        <v>7.3800000001210719</v>
      </c>
      <c r="G45" s="74">
        <f t="shared" ca="1" si="1"/>
        <v>4.3650688031378061E-4</v>
      </c>
      <c r="H45" s="75">
        <f t="shared" ca="1" si="2"/>
        <v>99.99956349311968</v>
      </c>
      <c r="I45" s="99"/>
      <c r="J45" s="9"/>
    </row>
    <row r="46" spans="1:10" ht="29.25" thickBot="1" x14ac:dyDescent="0.3">
      <c r="A46" s="103" t="s">
        <v>155</v>
      </c>
      <c r="B46" s="104">
        <f>+'[34]DF SUR'!$B$15</f>
        <v>3</v>
      </c>
      <c r="C46" s="105">
        <f>'DF SUR'!F15</f>
        <v>92584420.780000001</v>
      </c>
      <c r="D46" s="105">
        <f ca="1">'DF SUR'!H15</f>
        <v>69027264</v>
      </c>
      <c r="E46" s="106">
        <f>'DF SUR'!I15</f>
        <v>69027256.650000006</v>
      </c>
      <c r="F46" s="107">
        <f t="shared" ca="1" si="0"/>
        <v>7.3499999940395355</v>
      </c>
      <c r="G46" s="108">
        <f t="shared" ca="1" si="1"/>
        <v>1.0647966568745266E-5</v>
      </c>
      <c r="H46" s="109">
        <f t="shared" ca="1" si="2"/>
        <v>99.999989352033438</v>
      </c>
      <c r="I46" s="97" t="s">
        <v>120</v>
      </c>
      <c r="J46" s="9"/>
    </row>
    <row r="47" spans="1:10" ht="24" customHeight="1" thickBot="1" x14ac:dyDescent="0.3">
      <c r="A47" s="110" t="s">
        <v>959</v>
      </c>
      <c r="B47" s="813">
        <f>SUM(B11:B46)</f>
        <v>271</v>
      </c>
      <c r="C47" s="111">
        <f>SUM(C11:C46)</f>
        <v>541560087.98640001</v>
      </c>
      <c r="D47" s="112">
        <f ca="1">SUM(D11:D46)</f>
        <v>411496887.99686664</v>
      </c>
      <c r="E47" s="113">
        <f ca="1">SUM(E11:E46)</f>
        <v>348346152.44480002</v>
      </c>
      <c r="F47" s="114">
        <f ca="1">SUM(F11:F46)</f>
        <v>63150735.552066676</v>
      </c>
      <c r="G47" s="115">
        <f t="shared" ca="1" si="1"/>
        <v>15.346588855016455</v>
      </c>
      <c r="H47" s="116">
        <f t="shared" ca="1" si="2"/>
        <v>84.653411144983565</v>
      </c>
      <c r="I47" s="117"/>
    </row>
    <row r="48" spans="1:10" ht="29.25" customHeight="1" thickBot="1" x14ac:dyDescent="0.3">
      <c r="A48" s="824" t="s">
        <v>960</v>
      </c>
      <c r="B48" s="111">
        <v>1</v>
      </c>
      <c r="C48" s="111">
        <f>CAM_Calendario!F17</f>
        <v>215399.99</v>
      </c>
      <c r="D48" s="112">
        <f ca="1">CAM_Calendario!U17</f>
        <v>215399.99</v>
      </c>
      <c r="E48" s="113">
        <f>CAM_Calendario!U18</f>
        <v>215399.99</v>
      </c>
      <c r="F48" s="114"/>
      <c r="G48" s="115"/>
      <c r="H48" s="116"/>
      <c r="I48" s="117"/>
    </row>
    <row r="49" spans="1:9" ht="24" customHeight="1" thickBot="1" x14ac:dyDescent="0.3">
      <c r="A49" s="110" t="s">
        <v>51</v>
      </c>
      <c r="B49" s="111">
        <f t="shared" ref="B49:H49" si="3">B47+B48</f>
        <v>272</v>
      </c>
      <c r="C49" s="111">
        <f t="shared" si="3"/>
        <v>541775487.97640002</v>
      </c>
      <c r="D49" s="112">
        <f t="shared" ca="1" si="3"/>
        <v>411712287.98686665</v>
      </c>
      <c r="E49" s="113">
        <f t="shared" ca="1" si="3"/>
        <v>348561552.43480003</v>
      </c>
      <c r="F49" s="114">
        <f t="shared" ca="1" si="3"/>
        <v>63150735.552066676</v>
      </c>
      <c r="G49" s="115">
        <f t="shared" ca="1" si="3"/>
        <v>15.346588855016455</v>
      </c>
      <c r="H49" s="116">
        <f t="shared" ca="1" si="3"/>
        <v>84.653411144983565</v>
      </c>
      <c r="I49" s="117"/>
    </row>
    <row r="50" spans="1:9" ht="15" customHeight="1" x14ac:dyDescent="0.25">
      <c r="A50" s="9"/>
      <c r="C50" s="816"/>
      <c r="D50" s="9"/>
      <c r="F50" s="2"/>
      <c r="G50" s="2"/>
      <c r="H50" s="2"/>
      <c r="I50" s="118"/>
    </row>
    <row r="51" spans="1:9" ht="18.75" x14ac:dyDescent="0.4">
      <c r="B51" s="119"/>
      <c r="C51" s="821"/>
      <c r="D51" s="823"/>
      <c r="E51" s="821"/>
      <c r="F51" s="819"/>
    </row>
    <row r="52" spans="1:9" x14ac:dyDescent="0.25">
      <c r="C52" s="305"/>
      <c r="D52" s="305"/>
      <c r="E52" s="815"/>
    </row>
    <row r="53" spans="1:9" x14ac:dyDescent="0.25">
      <c r="D53" s="120"/>
      <c r="E53" s="121"/>
    </row>
    <row r="54" spans="1:9" x14ac:dyDescent="0.25">
      <c r="C54" s="825"/>
      <c r="D54" s="825"/>
      <c r="E54" s="121"/>
    </row>
    <row r="55" spans="1:9" x14ac:dyDescent="0.25">
      <c r="D55" s="120"/>
      <c r="E55" s="121"/>
    </row>
    <row r="56" spans="1:9" x14ac:dyDescent="0.25">
      <c r="D56" s="120"/>
      <c r="E56" s="121"/>
    </row>
    <row r="57" spans="1:9" x14ac:dyDescent="0.25">
      <c r="D57" s="120"/>
      <c r="E57" s="121"/>
    </row>
    <row r="58" spans="1:9" x14ac:dyDescent="0.25">
      <c r="D58" s="120"/>
      <c r="E58" s="121"/>
    </row>
    <row r="59" spans="1:9" x14ac:dyDescent="0.25">
      <c r="D59" s="120"/>
      <c r="E59" s="121"/>
    </row>
  </sheetData>
  <mergeCells count="9">
    <mergeCell ref="C54:D54"/>
    <mergeCell ref="A7:I7"/>
    <mergeCell ref="F8:H8"/>
    <mergeCell ref="A9:A10"/>
    <mergeCell ref="B9:B10"/>
    <mergeCell ref="C9:E9"/>
    <mergeCell ref="F9:G9"/>
    <mergeCell ref="H9:H10"/>
    <mergeCell ref="I9:I10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showGridLines="0" topLeftCell="A9" zoomScaleNormal="100" zoomScaleSheetLayoutView="85" zoomScalePageLayoutView="80" workbookViewId="0">
      <pane xSplit="1" topLeftCell="E1" activePane="topRight" state="frozen"/>
      <selection pane="topRight" activeCell="O12" sqref="O12:O17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8.140625" customWidth="1"/>
    <col min="7" max="7" width="15" customWidth="1"/>
    <col min="8" max="8" width="19.140625" customWidth="1"/>
    <col min="9" max="9" width="16.7109375" customWidth="1"/>
    <col min="10" max="10" width="16.28515625" customWidth="1"/>
    <col min="11" max="11" width="11.7109375" hidden="1" customWidth="1"/>
    <col min="12" max="12" width="10.28515625" hidden="1" customWidth="1"/>
    <col min="13" max="13" width="29.85546875" customWidth="1"/>
    <col min="14" max="14" width="1.42578125" customWidth="1"/>
    <col min="15" max="15" width="28" customWidth="1"/>
    <col min="16" max="16365" width="11.42578125" customWidth="1"/>
  </cols>
  <sheetData>
    <row r="1" spans="1:15" ht="18" x14ac:dyDescent="0.25">
      <c r="D1" s="10" t="s">
        <v>25</v>
      </c>
      <c r="M1" s="11"/>
    </row>
    <row r="2" spans="1:15" ht="18" x14ac:dyDescent="0.25">
      <c r="D2" s="10" t="s">
        <v>24</v>
      </c>
    </row>
    <row r="3" spans="1:15" ht="18" x14ac:dyDescent="0.25">
      <c r="D3" s="10" t="s">
        <v>23</v>
      </c>
    </row>
    <row r="4" spans="1:15" ht="18" x14ac:dyDescent="0.25">
      <c r="D4" s="10" t="s">
        <v>22</v>
      </c>
      <c r="K4" s="9"/>
      <c r="L4" s="9"/>
    </row>
    <row r="5" spans="1:15" ht="18" x14ac:dyDescent="0.25">
      <c r="D5" s="10" t="s">
        <v>21</v>
      </c>
    </row>
    <row r="6" spans="1:15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5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5" ht="18" x14ac:dyDescent="0.25">
      <c r="D8" s="39" t="s">
        <v>31</v>
      </c>
      <c r="E8" s="10" t="s">
        <v>30</v>
      </c>
      <c r="H8" s="9"/>
      <c r="I8" s="3"/>
      <c r="L8" s="9"/>
    </row>
    <row r="9" spans="1:15" ht="9" customHeight="1" thickBot="1" x14ac:dyDescent="0.3"/>
    <row r="10" spans="1:15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</row>
    <row r="11" spans="1:15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49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41"/>
    </row>
    <row r="12" spans="1:15" ht="57" customHeight="1" thickTop="1" x14ac:dyDescent="0.25">
      <c r="A12" s="34" t="s">
        <v>11</v>
      </c>
      <c r="B12" s="22">
        <v>900110</v>
      </c>
      <c r="C12" s="8"/>
      <c r="D12" s="18" t="s">
        <v>57</v>
      </c>
      <c r="E12" s="12" t="s">
        <v>9</v>
      </c>
      <c r="F12" s="28">
        <f>AGS_Calendario!F14</f>
        <v>2082430</v>
      </c>
      <c r="G12" s="44">
        <v>173535</v>
      </c>
      <c r="H12" s="65">
        <f ca="1">AGS_Calendario!T14</f>
        <v>1561824</v>
      </c>
      <c r="I12" s="65">
        <f>AGS_Calendario!T15</f>
        <v>1388280</v>
      </c>
      <c r="J12" s="73">
        <f t="shared" ref="J12:J18" ca="1" si="0">H12-I12</f>
        <v>173544</v>
      </c>
      <c r="K12" s="74">
        <f t="shared" ref="K12:K18" ca="1" si="1">+J12/H12*100</f>
        <v>11.111623332718668</v>
      </c>
      <c r="L12" s="75">
        <f t="shared" ref="L12:L18" ca="1" si="2">+I12/H12*100</f>
        <v>88.888376667281335</v>
      </c>
      <c r="M12" s="76" t="s">
        <v>778</v>
      </c>
      <c r="O12" s="9"/>
    </row>
    <row r="13" spans="1:15" ht="45.75" customHeight="1" x14ac:dyDescent="0.25">
      <c r="A13" s="35" t="s">
        <v>8</v>
      </c>
      <c r="B13" s="23">
        <v>900110</v>
      </c>
      <c r="C13" s="21"/>
      <c r="D13" s="18" t="s">
        <v>7</v>
      </c>
      <c r="E13" s="13" t="s">
        <v>6</v>
      </c>
      <c r="F13" s="28">
        <f>AGS_Calendario!F16</f>
        <v>1317266.5599999998</v>
      </c>
      <c r="G13" s="44">
        <v>109771.38</v>
      </c>
      <c r="H13" s="65">
        <f ca="1">AGS_Calendario!T16</f>
        <v>987956.99999999977</v>
      </c>
      <c r="I13" s="65">
        <f>AGS_Calendario!T17</f>
        <v>878171.51999999979</v>
      </c>
      <c r="J13" s="73">
        <f t="shared" ca="1" si="0"/>
        <v>109785.47999999998</v>
      </c>
      <c r="K13" s="74">
        <f t="shared" ca="1" si="1"/>
        <v>11.112374323983737</v>
      </c>
      <c r="L13" s="75">
        <f t="shared" ca="1" si="2"/>
        <v>88.88762567601627</v>
      </c>
      <c r="M13" s="76" t="s">
        <v>778</v>
      </c>
      <c r="O13" s="9"/>
    </row>
    <row r="14" spans="1:15" ht="42.75" customHeight="1" x14ac:dyDescent="0.25">
      <c r="A14" s="35" t="s">
        <v>5</v>
      </c>
      <c r="B14" s="23">
        <v>800201</v>
      </c>
      <c r="C14" s="21"/>
      <c r="D14" s="18" t="s">
        <v>4</v>
      </c>
      <c r="E14" s="13" t="s">
        <v>3</v>
      </c>
      <c r="F14" s="28">
        <f>AGS_Calendario!F18</f>
        <v>815859.19999999995</v>
      </c>
      <c r="G14" s="44">
        <v>67987.600000000006</v>
      </c>
      <c r="H14" s="65">
        <f ca="1">AGS_Calendario!T18</f>
        <v>611901</v>
      </c>
      <c r="I14" s="65">
        <f>AGS_Calendario!T19</f>
        <v>543901.16</v>
      </c>
      <c r="J14" s="73">
        <f t="shared" ca="1" si="0"/>
        <v>67999.839999999967</v>
      </c>
      <c r="K14" s="74">
        <f t="shared" ca="1" si="1"/>
        <v>11.112882639511943</v>
      </c>
      <c r="L14" s="75">
        <f t="shared" ca="1" si="2"/>
        <v>88.887117360488048</v>
      </c>
      <c r="M14" s="76" t="s">
        <v>778</v>
      </c>
      <c r="O14" s="9"/>
    </row>
    <row r="15" spans="1:15" ht="76.5" x14ac:dyDescent="0.25">
      <c r="A15" s="41" t="s">
        <v>2</v>
      </c>
      <c r="B15" s="42">
        <v>150100</v>
      </c>
      <c r="C15" s="43"/>
      <c r="D15" s="77" t="s">
        <v>60</v>
      </c>
      <c r="E15" s="78" t="s">
        <v>0</v>
      </c>
      <c r="F15" s="28">
        <f>AGS_Calendario!F20</f>
        <v>8092938.3600000003</v>
      </c>
      <c r="G15" s="44">
        <v>674768.47</v>
      </c>
      <c r="H15" s="65">
        <f ca="1">AGS_Calendario!T20</f>
        <v>6069708</v>
      </c>
      <c r="I15" s="65">
        <f>AGS_Calendario!T21</f>
        <v>5395289.3600000003</v>
      </c>
      <c r="J15" s="73">
        <f t="shared" ca="1" si="0"/>
        <v>674418.63999999966</v>
      </c>
      <c r="K15" s="74">
        <f t="shared" ca="1" si="1"/>
        <v>11.111220506818444</v>
      </c>
      <c r="L15" s="75">
        <f t="shared" ca="1" si="2"/>
        <v>88.888779493181559</v>
      </c>
      <c r="M15" s="76" t="s">
        <v>778</v>
      </c>
      <c r="O15" s="9"/>
    </row>
    <row r="16" spans="1:15" ht="72" customHeight="1" x14ac:dyDescent="0.25">
      <c r="A16" s="41" t="s">
        <v>94</v>
      </c>
      <c r="B16" s="42">
        <v>150904</v>
      </c>
      <c r="C16" s="43"/>
      <c r="D16" s="77" t="s">
        <v>58</v>
      </c>
      <c r="E16" s="78" t="s">
        <v>59</v>
      </c>
      <c r="F16" s="28">
        <f>AGS_Calendario!F22</f>
        <v>1044000</v>
      </c>
      <c r="G16" s="79">
        <v>87000</v>
      </c>
      <c r="H16" s="65">
        <f ca="1">AGS_Calendario!T22</f>
        <v>783000</v>
      </c>
      <c r="I16" s="65">
        <f>AGS_Calendario!T23</f>
        <v>695999.84</v>
      </c>
      <c r="J16" s="73">
        <f t="shared" ca="1" si="0"/>
        <v>87000.160000000033</v>
      </c>
      <c r="K16" s="74">
        <f t="shared" ca="1" si="1"/>
        <v>11.111131545338445</v>
      </c>
      <c r="L16" s="75">
        <f t="shared" ca="1" si="2"/>
        <v>88.888868454661548</v>
      </c>
      <c r="M16" s="76" t="s">
        <v>778</v>
      </c>
      <c r="O16" s="9"/>
    </row>
    <row r="17" spans="1:15" ht="61.5" customHeight="1" thickBot="1" x14ac:dyDescent="0.3">
      <c r="A17" s="36" t="s">
        <v>2</v>
      </c>
      <c r="B17" s="37" t="s">
        <v>37</v>
      </c>
      <c r="C17" s="38"/>
      <c r="D17" s="19" t="s">
        <v>95</v>
      </c>
      <c r="E17" s="20" t="s">
        <v>38</v>
      </c>
      <c r="F17" s="28">
        <f>+AGS_Calendario!F24</f>
        <v>317797.5</v>
      </c>
      <c r="G17" s="80">
        <v>25000</v>
      </c>
      <c r="H17" s="65">
        <f ca="1">AGS_Calendario!T24</f>
        <v>235170</v>
      </c>
      <c r="I17" s="65">
        <f>AGS_Calendario!T25</f>
        <v>207627.45</v>
      </c>
      <c r="J17" s="73">
        <f t="shared" ca="1" si="0"/>
        <v>27542.549999999988</v>
      </c>
      <c r="K17" s="82">
        <f t="shared" ca="1" si="1"/>
        <v>11.711761704299013</v>
      </c>
      <c r="L17" s="83">
        <f t="shared" ca="1" si="2"/>
        <v>88.288238295700978</v>
      </c>
      <c r="M17" s="76" t="s">
        <v>778</v>
      </c>
      <c r="O17" s="9"/>
    </row>
    <row r="18" spans="1:15" ht="15.75" thickBot="1" x14ac:dyDescent="0.3">
      <c r="A18" s="4"/>
      <c r="B18" s="40">
        <v>6</v>
      </c>
      <c r="C18" s="24">
        <f>COUNT(C13:C17)</f>
        <v>0</v>
      </c>
      <c r="D18" s="7"/>
      <c r="E18" s="6"/>
      <c r="F18" s="84">
        <f>SUM(F12:F17)</f>
        <v>13670291.620000001</v>
      </c>
      <c r="G18" s="84">
        <f>SUM(G12:G17)</f>
        <v>1138062.45</v>
      </c>
      <c r="H18" s="84">
        <f ca="1">SUM(H12:H17)</f>
        <v>10249560</v>
      </c>
      <c r="I18" s="85">
        <f>SUM(I12:I17)</f>
        <v>9109269.3300000001</v>
      </c>
      <c r="J18" s="86">
        <f t="shared" ca="1" si="0"/>
        <v>1140290.67</v>
      </c>
      <c r="K18" s="87">
        <f t="shared" ca="1" si="1"/>
        <v>11.125264596724152</v>
      </c>
      <c r="L18" s="88">
        <f t="shared" ca="1" si="2"/>
        <v>88.874735403275849</v>
      </c>
      <c r="M18" s="5"/>
    </row>
    <row r="19" spans="1:15" ht="6" customHeight="1" x14ac:dyDescent="0.25">
      <c r="F19" s="3"/>
      <c r="G19" s="3"/>
      <c r="H19" s="2"/>
      <c r="I19" s="2"/>
      <c r="J19" s="2"/>
      <c r="K19" s="2"/>
      <c r="L19" s="2"/>
      <c r="M19" s="89"/>
    </row>
    <row r="20" spans="1:15" ht="31.5" customHeight="1" x14ac:dyDescent="0.25">
      <c r="F20" s="2"/>
      <c r="G20" s="2"/>
      <c r="H20" s="2"/>
      <c r="I20" s="2"/>
      <c r="J20" s="2"/>
      <c r="K20" s="2"/>
      <c r="L20" s="2"/>
      <c r="M20" s="89"/>
    </row>
    <row r="21" spans="1:15" ht="31.5" customHeight="1" x14ac:dyDescent="0.25"/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hyperlinks>
    <hyperlink ref="E12" r:id="rId1" display="OFICINAS ADMINISTRATIVAS DE LA SUBDELEGACION METROPOLITANA NORTE"/>
    <hyperlink ref="E13" r:id="rId2"/>
    <hyperlink ref="E14" r:id="rId3"/>
    <hyperlink ref="E17" r:id="rId4" display="Almacén Delegacional, Oficinas de la Coordinación Delegacional, Bod.  Bienes Emb. y Arch. Conc."/>
  </hyperlinks>
  <printOptions horizontalCentered="1" verticalCentered="1"/>
  <pageMargins left="0.59055118110236227" right="0.39370078740157483" top="0.15748031496062992" bottom="0.15748031496062992" header="0.31496062992125984" footer="0.31496062992125984"/>
  <pageSetup scale="68" fitToHeight="21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"/>
  <sheetViews>
    <sheetView topLeftCell="A8" zoomScaleNormal="100" zoomScaleSheetLayoutView="80" zoomScalePageLayoutView="40" workbookViewId="0">
      <pane xSplit="5" ySplit="6" topLeftCell="K14" activePane="bottomRight" state="frozen"/>
      <selection activeCell="A8" sqref="A8"/>
      <selection pane="topRight" activeCell="F8" sqref="F8"/>
      <selection pane="bottomLeft" activeCell="A13" sqref="A13"/>
      <selection pane="bottomRight" activeCell="U18" sqref="U18:U19"/>
    </sheetView>
  </sheetViews>
  <sheetFormatPr baseColWidth="10" defaultRowHeight="15" x14ac:dyDescent="0.25"/>
  <cols>
    <col min="1" max="1" width="9.42578125" customWidth="1"/>
    <col min="2" max="2" width="9.5703125" customWidth="1"/>
    <col min="3" max="3" width="1.28515625" customWidth="1"/>
    <col min="4" max="4" width="21.5703125" customWidth="1"/>
    <col min="5" max="6" width="22.28515625" style="1" customWidth="1"/>
    <col min="7" max="7" width="10.28515625" customWidth="1"/>
    <col min="8" max="10" width="15.5703125" bestFit="1" customWidth="1"/>
    <col min="11" max="11" width="15.5703125" customWidth="1"/>
    <col min="12" max="12" width="15.28515625" customWidth="1"/>
    <col min="13" max="13" width="15.7109375" customWidth="1"/>
    <col min="14" max="14" width="16.42578125" customWidth="1"/>
    <col min="15" max="15" width="15.5703125" bestFit="1" customWidth="1"/>
    <col min="16" max="17" width="15.140625" customWidth="1"/>
    <col min="18" max="18" width="15.85546875" customWidth="1"/>
    <col min="19" max="19" width="17.85546875" customWidth="1"/>
    <col min="20" max="20" width="15.85546875" customWidth="1"/>
    <col min="21" max="21" width="37.28515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</row>
    <row r="7" spans="1:21" ht="20.25" x14ac:dyDescent="0.3">
      <c r="F7" s="14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</row>
    <row r="8" spans="1:21" ht="21" x14ac:dyDescent="0.35">
      <c r="D8" s="826" t="s">
        <v>61</v>
      </c>
      <c r="E8" s="826"/>
      <c r="F8" s="826"/>
      <c r="G8" s="826"/>
      <c r="H8" s="826"/>
      <c r="I8" s="826"/>
      <c r="J8" s="826"/>
      <c r="K8" s="826"/>
      <c r="L8" s="826"/>
      <c r="M8" s="826"/>
      <c r="N8" s="826"/>
      <c r="O8" s="826"/>
      <c r="P8" s="826"/>
      <c r="Q8" s="826"/>
      <c r="R8" s="826"/>
      <c r="S8" s="826"/>
      <c r="T8" s="826"/>
      <c r="U8" s="826"/>
    </row>
    <row r="9" spans="1:21" ht="18" x14ac:dyDescent="0.25">
      <c r="D9" s="39" t="s">
        <v>31</v>
      </c>
      <c r="E9" s="10" t="s">
        <v>30</v>
      </c>
      <c r="F9" s="10"/>
      <c r="T9" s="3"/>
    </row>
    <row r="10" spans="1:21" ht="18.75" thickBot="1" x14ac:dyDescent="0.3">
      <c r="D10" s="39"/>
      <c r="E10" s="10"/>
      <c r="F10" s="10"/>
      <c r="T10" s="3"/>
    </row>
    <row r="11" spans="1:21" ht="15.75" hidden="1" thickBot="1" x14ac:dyDescent="0.3">
      <c r="I11" t="s">
        <v>64</v>
      </c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71</v>
      </c>
      <c r="Q11" t="s">
        <v>72</v>
      </c>
      <c r="R11" t="s">
        <v>73</v>
      </c>
      <c r="S11" t="s">
        <v>74</v>
      </c>
      <c r="T11" s="3"/>
    </row>
    <row r="12" spans="1:21" ht="18" customHeight="1" x14ac:dyDescent="0.25">
      <c r="A12" s="64"/>
      <c r="B12" s="63" t="s">
        <v>18</v>
      </c>
      <c r="C12" s="844" t="s">
        <v>17</v>
      </c>
      <c r="D12" s="858" t="s">
        <v>16</v>
      </c>
      <c r="E12" s="860" t="s">
        <v>15</v>
      </c>
      <c r="F12" s="839" t="s">
        <v>26</v>
      </c>
      <c r="G12" s="45"/>
      <c r="H12" s="837" t="s">
        <v>39</v>
      </c>
      <c r="I12" s="837" t="s">
        <v>40</v>
      </c>
      <c r="J12" s="837" t="s">
        <v>41</v>
      </c>
      <c r="K12" s="837" t="s">
        <v>42</v>
      </c>
      <c r="L12" s="837" t="s">
        <v>43</v>
      </c>
      <c r="M12" s="837" t="s">
        <v>44</v>
      </c>
      <c r="N12" s="837" t="s">
        <v>45</v>
      </c>
      <c r="O12" s="837" t="s">
        <v>46</v>
      </c>
      <c r="P12" s="837" t="s">
        <v>47</v>
      </c>
      <c r="Q12" s="837" t="s">
        <v>48</v>
      </c>
      <c r="R12" s="837" t="s">
        <v>49</v>
      </c>
      <c r="S12" s="837" t="s">
        <v>50</v>
      </c>
      <c r="T12" s="45"/>
      <c r="U12" s="839" t="s">
        <v>14</v>
      </c>
    </row>
    <row r="13" spans="1:21" ht="34.5" customHeight="1" thickBot="1" x14ac:dyDescent="0.3">
      <c r="A13" s="25" t="s">
        <v>12</v>
      </c>
      <c r="B13" s="33" t="s">
        <v>13</v>
      </c>
      <c r="C13" s="845"/>
      <c r="D13" s="859"/>
      <c r="E13" s="861"/>
      <c r="F13" s="862"/>
      <c r="G13" s="53"/>
      <c r="H13" s="838"/>
      <c r="I13" s="838"/>
      <c r="J13" s="838"/>
      <c r="K13" s="838"/>
      <c r="L13" s="838"/>
      <c r="M13" s="838"/>
      <c r="N13" s="838"/>
      <c r="O13" s="838"/>
      <c r="P13" s="838"/>
      <c r="Q13" s="838"/>
      <c r="R13" s="838"/>
      <c r="S13" s="838"/>
      <c r="T13" s="46" t="s">
        <v>51</v>
      </c>
      <c r="U13" s="841"/>
    </row>
    <row r="14" spans="1:21" ht="57" customHeight="1" thickTop="1" x14ac:dyDescent="0.25">
      <c r="A14" s="22">
        <v>900110</v>
      </c>
      <c r="B14" s="34">
        <v>19101</v>
      </c>
      <c r="C14" s="8"/>
      <c r="D14" s="851" t="s">
        <v>57</v>
      </c>
      <c r="E14" s="851" t="s">
        <v>9</v>
      </c>
      <c r="F14" s="853">
        <f>SUM(H14:S14)</f>
        <v>2082430</v>
      </c>
      <c r="G14" s="54" t="s">
        <v>52</v>
      </c>
      <c r="H14" s="49"/>
      <c r="I14" s="49">
        <f t="shared" ref="I14:S14" si="0">VLOOKUP($A14&amp;$B14&amp;I$11,Base,8,FALSE)</f>
        <v>0</v>
      </c>
      <c r="J14" s="49">
        <f t="shared" si="0"/>
        <v>0</v>
      </c>
      <c r="K14" s="49">
        <f t="shared" si="0"/>
        <v>347070</v>
      </c>
      <c r="L14" s="49">
        <f t="shared" si="0"/>
        <v>347070</v>
      </c>
      <c r="M14" s="49">
        <f t="shared" si="0"/>
        <v>173535</v>
      </c>
      <c r="N14" s="49">
        <f t="shared" si="0"/>
        <v>173535</v>
      </c>
      <c r="O14" s="49">
        <f t="shared" si="0"/>
        <v>173535</v>
      </c>
      <c r="P14" s="49">
        <f t="shared" si="0"/>
        <v>173535</v>
      </c>
      <c r="Q14" s="49">
        <f t="shared" si="0"/>
        <v>173544</v>
      </c>
      <c r="R14" s="49">
        <f t="shared" si="0"/>
        <v>173536</v>
      </c>
      <c r="S14" s="49">
        <f t="shared" si="0"/>
        <v>347070</v>
      </c>
      <c r="T14" s="44">
        <f ca="1">SUM($H14:(OFFSET($H14,0,AVANCE060826!$T$2)))</f>
        <v>1561824</v>
      </c>
      <c r="U14" s="863"/>
    </row>
    <row r="15" spans="1:21" ht="57" customHeight="1" thickBot="1" x14ac:dyDescent="0.3">
      <c r="A15" s="22">
        <v>900110</v>
      </c>
      <c r="B15" s="34">
        <v>19101</v>
      </c>
      <c r="C15" s="8"/>
      <c r="D15" s="852"/>
      <c r="E15" s="852"/>
      <c r="F15" s="854"/>
      <c r="G15" s="54" t="s">
        <v>53</v>
      </c>
      <c r="H15" s="47"/>
      <c r="I15" s="47">
        <f t="shared" ref="I15:S15" si="1">VLOOKUP($A$15&amp;$B$15&amp;I11,Base,9,FALSE)</f>
        <v>0</v>
      </c>
      <c r="J15" s="47">
        <f t="shared" si="1"/>
        <v>0</v>
      </c>
      <c r="K15" s="47">
        <f t="shared" si="1"/>
        <v>347070</v>
      </c>
      <c r="L15" s="47">
        <f t="shared" si="1"/>
        <v>347070</v>
      </c>
      <c r="M15" s="47">
        <f t="shared" si="1"/>
        <v>173535</v>
      </c>
      <c r="N15" s="47">
        <f t="shared" si="1"/>
        <v>173535</v>
      </c>
      <c r="O15" s="47">
        <f t="shared" si="1"/>
        <v>173535</v>
      </c>
      <c r="P15" s="47">
        <f t="shared" si="1"/>
        <v>173535</v>
      </c>
      <c r="Q15" s="47">
        <f t="shared" si="1"/>
        <v>0</v>
      </c>
      <c r="R15" s="47">
        <f t="shared" si="1"/>
        <v>0</v>
      </c>
      <c r="S15" s="47">
        <f t="shared" si="1"/>
        <v>0</v>
      </c>
      <c r="T15" s="44">
        <f t="shared" ref="T15:T25" si="2">SUM(H15:S15)</f>
        <v>1388280</v>
      </c>
      <c r="U15" s="864"/>
    </row>
    <row r="16" spans="1:21" ht="45.75" customHeight="1" x14ac:dyDescent="0.25">
      <c r="A16" s="23">
        <v>900110</v>
      </c>
      <c r="B16" s="35">
        <v>19102</v>
      </c>
      <c r="C16" s="21"/>
      <c r="D16" s="851" t="s">
        <v>7</v>
      </c>
      <c r="E16" s="855" t="s">
        <v>6</v>
      </c>
      <c r="F16" s="853">
        <f>SUM(H16:S16)</f>
        <v>1317266.5599999998</v>
      </c>
      <c r="G16" s="54" t="s">
        <v>52</v>
      </c>
      <c r="H16" s="49"/>
      <c r="I16" s="49">
        <f t="shared" ref="I16:S16" si="3">VLOOKUP($A16&amp;$B16&amp;I$11,Base,8,FALSE)</f>
        <v>0</v>
      </c>
      <c r="J16" s="49">
        <f t="shared" si="3"/>
        <v>0</v>
      </c>
      <c r="K16" s="49">
        <f t="shared" si="3"/>
        <v>329314.32</v>
      </c>
      <c r="L16" s="49">
        <f t="shared" si="3"/>
        <v>0</v>
      </c>
      <c r="M16" s="49">
        <f t="shared" si="3"/>
        <v>219542.88</v>
      </c>
      <c r="N16" s="49">
        <f t="shared" si="3"/>
        <v>109771.44</v>
      </c>
      <c r="O16" s="49">
        <f t="shared" si="3"/>
        <v>109771.44</v>
      </c>
      <c r="P16" s="49">
        <f t="shared" si="3"/>
        <v>109771.44</v>
      </c>
      <c r="Q16" s="49">
        <f t="shared" si="3"/>
        <v>109785.48</v>
      </c>
      <c r="R16" s="49">
        <f t="shared" si="3"/>
        <v>109773</v>
      </c>
      <c r="S16" s="49">
        <f t="shared" si="3"/>
        <v>219536.56</v>
      </c>
      <c r="T16" s="44">
        <f ca="1">SUM($H16:(OFFSET($H16,0,AVANCE060826!$T$2)))</f>
        <v>987956.99999999977</v>
      </c>
      <c r="U16" s="863"/>
    </row>
    <row r="17" spans="1:21" ht="45.75" customHeight="1" thickBot="1" x14ac:dyDescent="0.3">
      <c r="A17" s="23">
        <v>900110</v>
      </c>
      <c r="B17" s="35">
        <v>19102</v>
      </c>
      <c r="C17" s="21"/>
      <c r="D17" s="852"/>
      <c r="E17" s="856"/>
      <c r="F17" s="854"/>
      <c r="G17" s="54" t="s">
        <v>53</v>
      </c>
      <c r="H17" s="47"/>
      <c r="I17" s="47">
        <f t="shared" ref="I17:S17" si="4">VLOOKUP($A17&amp;$B17&amp;I$11,Base,9,FALSE)</f>
        <v>0</v>
      </c>
      <c r="J17" s="47">
        <f t="shared" si="4"/>
        <v>0</v>
      </c>
      <c r="K17" s="47">
        <f t="shared" si="4"/>
        <v>329314.32</v>
      </c>
      <c r="L17" s="47">
        <f t="shared" si="4"/>
        <v>0</v>
      </c>
      <c r="M17" s="47">
        <f t="shared" si="4"/>
        <v>219542.88</v>
      </c>
      <c r="N17" s="47">
        <f t="shared" si="4"/>
        <v>109771.44</v>
      </c>
      <c r="O17" s="47">
        <f t="shared" si="4"/>
        <v>109771.44</v>
      </c>
      <c r="P17" s="47">
        <f t="shared" si="4"/>
        <v>109771.44</v>
      </c>
      <c r="Q17" s="47">
        <f t="shared" si="4"/>
        <v>0</v>
      </c>
      <c r="R17" s="47">
        <f t="shared" si="4"/>
        <v>0</v>
      </c>
      <c r="S17" s="47">
        <f t="shared" si="4"/>
        <v>0</v>
      </c>
      <c r="T17" s="44">
        <f t="shared" si="2"/>
        <v>878171.51999999979</v>
      </c>
      <c r="U17" s="864"/>
    </row>
    <row r="18" spans="1:21" ht="42.75" customHeight="1" x14ac:dyDescent="0.25">
      <c r="A18" s="23">
        <v>800201</v>
      </c>
      <c r="B18" s="35">
        <v>15801</v>
      </c>
      <c r="C18" s="21"/>
      <c r="D18" s="851" t="s">
        <v>4</v>
      </c>
      <c r="E18" s="855" t="s">
        <v>3</v>
      </c>
      <c r="F18" s="853">
        <f>SUM(H18:S18)</f>
        <v>815859.19999999995</v>
      </c>
      <c r="G18" s="54" t="s">
        <v>52</v>
      </c>
      <c r="H18" s="49"/>
      <c r="I18" s="49">
        <f t="shared" ref="I18:S18" si="5">VLOOKUP($A18&amp;$B18&amp;I$11,Base,8,FALSE)</f>
        <v>0</v>
      </c>
      <c r="J18" s="49">
        <f t="shared" si="5"/>
        <v>0</v>
      </c>
      <c r="K18" s="49">
        <f t="shared" si="5"/>
        <v>203962.92</v>
      </c>
      <c r="L18" s="49">
        <f t="shared" si="5"/>
        <v>67987.64</v>
      </c>
      <c r="M18" s="49">
        <f t="shared" si="5"/>
        <v>67987.64</v>
      </c>
      <c r="N18" s="49">
        <f t="shared" si="5"/>
        <v>67987.64</v>
      </c>
      <c r="O18" s="49">
        <f t="shared" si="5"/>
        <v>67987.64</v>
      </c>
      <c r="P18" s="49">
        <f t="shared" si="5"/>
        <v>67987.679999999993</v>
      </c>
      <c r="Q18" s="49">
        <f t="shared" si="5"/>
        <v>67999.839999999997</v>
      </c>
      <c r="R18" s="49">
        <f t="shared" si="5"/>
        <v>67989</v>
      </c>
      <c r="S18" s="49">
        <f t="shared" si="5"/>
        <v>135969.20000000001</v>
      </c>
      <c r="T18" s="44">
        <f ca="1">SUM($H18:(OFFSET($H18,0,AVANCE060826!$T$2)))</f>
        <v>611901</v>
      </c>
      <c r="U18" s="863"/>
    </row>
    <row r="19" spans="1:21" ht="42.75" customHeight="1" thickBot="1" x14ac:dyDescent="0.3">
      <c r="A19" s="23">
        <v>800201</v>
      </c>
      <c r="B19" s="35">
        <v>15801</v>
      </c>
      <c r="C19" s="43"/>
      <c r="D19" s="852"/>
      <c r="E19" s="856"/>
      <c r="F19" s="854"/>
      <c r="G19" s="54" t="s">
        <v>53</v>
      </c>
      <c r="H19" s="47"/>
      <c r="I19" s="47">
        <f t="shared" ref="I19:S19" si="6">VLOOKUP($A19&amp;$B19&amp;I$11,Base,9,FALSE)</f>
        <v>0</v>
      </c>
      <c r="J19" s="47">
        <f t="shared" si="6"/>
        <v>0</v>
      </c>
      <c r="K19" s="47">
        <f t="shared" si="6"/>
        <v>203962.92</v>
      </c>
      <c r="L19" s="47">
        <f t="shared" si="6"/>
        <v>67987.64</v>
      </c>
      <c r="M19" s="47">
        <f t="shared" si="6"/>
        <v>67987.64</v>
      </c>
      <c r="N19" s="47">
        <f t="shared" si="6"/>
        <v>67987.64</v>
      </c>
      <c r="O19" s="47">
        <f t="shared" si="6"/>
        <v>67987.64</v>
      </c>
      <c r="P19" s="47">
        <f t="shared" si="6"/>
        <v>67987.679999999993</v>
      </c>
      <c r="Q19" s="47">
        <f t="shared" si="6"/>
        <v>0</v>
      </c>
      <c r="R19" s="47">
        <f t="shared" si="6"/>
        <v>0</v>
      </c>
      <c r="S19" s="47">
        <f t="shared" si="6"/>
        <v>0</v>
      </c>
      <c r="T19" s="44">
        <f t="shared" si="2"/>
        <v>543901.16</v>
      </c>
      <c r="U19" s="864"/>
    </row>
    <row r="20" spans="1:21" ht="42.75" customHeight="1" x14ac:dyDescent="0.25">
      <c r="A20" s="42">
        <v>150100</v>
      </c>
      <c r="B20" s="41">
        <v>19001</v>
      </c>
      <c r="C20" s="43"/>
      <c r="D20" s="851" t="s">
        <v>60</v>
      </c>
      <c r="E20" s="855" t="s">
        <v>0</v>
      </c>
      <c r="F20" s="853">
        <f>SUM(H20:S20)</f>
        <v>8092938.3600000003</v>
      </c>
      <c r="G20" s="54" t="s">
        <v>52</v>
      </c>
      <c r="H20" s="49"/>
      <c r="I20" s="49">
        <f t="shared" ref="I20:S20" si="7">VLOOKUP($A20&amp;$B20&amp;I$11,Base,8,FALSE)</f>
        <v>0</v>
      </c>
      <c r="J20" s="49">
        <f t="shared" si="7"/>
        <v>1162778.04</v>
      </c>
      <c r="K20" s="49">
        <f t="shared" si="7"/>
        <v>860455.47</v>
      </c>
      <c r="L20" s="49">
        <f t="shared" si="7"/>
        <v>674411.17</v>
      </c>
      <c r="M20" s="49">
        <f t="shared" si="7"/>
        <v>674411.17</v>
      </c>
      <c r="N20" s="49">
        <f t="shared" si="7"/>
        <v>674411.17</v>
      </c>
      <c r="O20" s="49">
        <f t="shared" si="7"/>
        <v>0</v>
      </c>
      <c r="P20" s="49">
        <f t="shared" si="7"/>
        <v>1348822.34</v>
      </c>
      <c r="Q20" s="49">
        <f t="shared" si="7"/>
        <v>674418.64</v>
      </c>
      <c r="R20" s="49">
        <f t="shared" si="7"/>
        <v>674412</v>
      </c>
      <c r="S20" s="49">
        <f t="shared" si="7"/>
        <v>1348818.36</v>
      </c>
      <c r="T20" s="44">
        <f ca="1">SUM($H20:(OFFSET($H20,0,AVANCE060826!$T$2)))</f>
        <v>6069708</v>
      </c>
      <c r="U20" s="62"/>
    </row>
    <row r="21" spans="1:21" ht="42.75" customHeight="1" thickBot="1" x14ac:dyDescent="0.3">
      <c r="A21" s="42">
        <v>150100</v>
      </c>
      <c r="B21" s="41">
        <v>19001</v>
      </c>
      <c r="C21" s="43"/>
      <c r="D21" s="852"/>
      <c r="E21" s="856"/>
      <c r="F21" s="854"/>
      <c r="G21" s="54" t="s">
        <v>53</v>
      </c>
      <c r="H21" s="49"/>
      <c r="I21" s="47">
        <f t="shared" ref="I21:S21" si="8">VLOOKUP($A21&amp;$B21&amp;I$11,Base,9,FALSE)</f>
        <v>0</v>
      </c>
      <c r="J21" s="47">
        <f t="shared" si="8"/>
        <v>1162778.04</v>
      </c>
      <c r="K21" s="47">
        <f t="shared" si="8"/>
        <v>860455.47</v>
      </c>
      <c r="L21" s="47">
        <f t="shared" si="8"/>
        <v>674411.17</v>
      </c>
      <c r="M21" s="47">
        <f t="shared" si="8"/>
        <v>674411.17</v>
      </c>
      <c r="N21" s="47">
        <f t="shared" si="8"/>
        <v>674411.17</v>
      </c>
      <c r="O21" s="47">
        <f t="shared" si="8"/>
        <v>0</v>
      </c>
      <c r="P21" s="47">
        <f t="shared" si="8"/>
        <v>1348822.34</v>
      </c>
      <c r="Q21" s="47">
        <f t="shared" si="8"/>
        <v>0</v>
      </c>
      <c r="R21" s="47">
        <f t="shared" si="8"/>
        <v>0</v>
      </c>
      <c r="S21" s="47">
        <f t="shared" si="8"/>
        <v>0</v>
      </c>
      <c r="T21" s="44">
        <f t="shared" si="2"/>
        <v>5395289.3600000003</v>
      </c>
      <c r="U21" s="62"/>
    </row>
    <row r="22" spans="1:21" ht="42.75" customHeight="1" x14ac:dyDescent="0.25">
      <c r="A22" s="42">
        <v>150904</v>
      </c>
      <c r="B22" s="41">
        <v>18101</v>
      </c>
      <c r="C22" s="43"/>
      <c r="D22" s="851" t="s">
        <v>58</v>
      </c>
      <c r="E22" s="855" t="s">
        <v>59</v>
      </c>
      <c r="F22" s="853">
        <f>SUM(H22:S22)</f>
        <v>1044000</v>
      </c>
      <c r="G22" s="54" t="s">
        <v>52</v>
      </c>
      <c r="H22" s="49"/>
      <c r="I22" s="49">
        <f t="shared" ref="I22:S22" si="9">VLOOKUP($A22&amp;$B22&amp;I$11,Base,8,FALSE)</f>
        <v>0</v>
      </c>
      <c r="J22" s="49">
        <f t="shared" si="9"/>
        <v>0</v>
      </c>
      <c r="K22" s="49">
        <f t="shared" si="9"/>
        <v>0</v>
      </c>
      <c r="L22" s="49">
        <f t="shared" si="9"/>
        <v>260999.94</v>
      </c>
      <c r="M22" s="49">
        <f t="shared" si="9"/>
        <v>173999.96</v>
      </c>
      <c r="N22" s="49">
        <f t="shared" si="9"/>
        <v>86999.98</v>
      </c>
      <c r="O22" s="49">
        <f t="shared" si="9"/>
        <v>86999.98</v>
      </c>
      <c r="P22" s="49">
        <f t="shared" si="9"/>
        <v>86999.98</v>
      </c>
      <c r="Q22" s="49">
        <f t="shared" si="9"/>
        <v>87000.16</v>
      </c>
      <c r="R22" s="49">
        <f t="shared" si="9"/>
        <v>87000</v>
      </c>
      <c r="S22" s="49">
        <f t="shared" si="9"/>
        <v>174000</v>
      </c>
      <c r="T22" s="44">
        <f ca="1">SUM($H22:(OFFSET($H22,0,AVANCE060826!$T$2)))</f>
        <v>783000</v>
      </c>
      <c r="U22" s="62"/>
    </row>
    <row r="23" spans="1:21" ht="42.75" customHeight="1" thickBot="1" x14ac:dyDescent="0.3">
      <c r="A23" s="42">
        <v>150904</v>
      </c>
      <c r="B23" s="41">
        <v>18101</v>
      </c>
      <c r="C23" s="43"/>
      <c r="D23" s="852"/>
      <c r="E23" s="856"/>
      <c r="F23" s="854"/>
      <c r="G23" s="54" t="s">
        <v>53</v>
      </c>
      <c r="H23" s="49"/>
      <c r="I23" s="47">
        <f t="shared" ref="I23:S23" si="10">VLOOKUP($A23&amp;$B23&amp;I$11,Base,9,FALSE)</f>
        <v>0</v>
      </c>
      <c r="J23" s="47">
        <f t="shared" si="10"/>
        <v>0</v>
      </c>
      <c r="K23" s="47">
        <f t="shared" si="10"/>
        <v>0</v>
      </c>
      <c r="L23" s="47">
        <f t="shared" si="10"/>
        <v>260999.94</v>
      </c>
      <c r="M23" s="47">
        <f t="shared" si="10"/>
        <v>173999.96</v>
      </c>
      <c r="N23" s="47">
        <f t="shared" si="10"/>
        <v>86999.98</v>
      </c>
      <c r="O23" s="47">
        <f t="shared" si="10"/>
        <v>86999.98</v>
      </c>
      <c r="P23" s="47">
        <f t="shared" si="10"/>
        <v>86999.98</v>
      </c>
      <c r="Q23" s="47">
        <f t="shared" si="10"/>
        <v>0</v>
      </c>
      <c r="R23" s="47">
        <f t="shared" si="10"/>
        <v>0</v>
      </c>
      <c r="S23" s="47">
        <f t="shared" si="10"/>
        <v>0</v>
      </c>
      <c r="T23" s="44">
        <f t="shared" si="2"/>
        <v>695999.84</v>
      </c>
      <c r="U23" s="62"/>
    </row>
    <row r="24" spans="1:21" ht="61.5" customHeight="1" x14ac:dyDescent="0.25">
      <c r="A24" s="122">
        <v>50100</v>
      </c>
      <c r="B24" s="41">
        <v>19001</v>
      </c>
      <c r="C24" s="43"/>
      <c r="D24" s="851" t="s">
        <v>54</v>
      </c>
      <c r="E24" s="855" t="s">
        <v>38</v>
      </c>
      <c r="F24" s="853">
        <f>SUM(H24:S24)</f>
        <v>317797.5</v>
      </c>
      <c r="G24" s="54" t="s">
        <v>52</v>
      </c>
      <c r="H24" s="49"/>
      <c r="I24" s="49">
        <f t="shared" ref="I24:S24" si="11">VLOOKUP($A24&amp;$B24&amp;I$11,Base,8,FALSE)</f>
        <v>0</v>
      </c>
      <c r="J24" s="49">
        <f t="shared" si="11"/>
        <v>49999.98</v>
      </c>
      <c r="K24" s="49">
        <f t="shared" si="11"/>
        <v>24999.99</v>
      </c>
      <c r="L24" s="49">
        <f t="shared" si="11"/>
        <v>24999.99</v>
      </c>
      <c r="M24" s="49">
        <f t="shared" si="11"/>
        <v>24999.99</v>
      </c>
      <c r="N24" s="49">
        <f t="shared" si="11"/>
        <v>27542.5</v>
      </c>
      <c r="O24" s="49">
        <f t="shared" si="11"/>
        <v>27542.5</v>
      </c>
      <c r="P24" s="49">
        <f t="shared" si="11"/>
        <v>27542.5</v>
      </c>
      <c r="Q24" s="49">
        <f t="shared" si="11"/>
        <v>27542.55</v>
      </c>
      <c r="R24" s="49">
        <f t="shared" si="11"/>
        <v>27542.5</v>
      </c>
      <c r="S24" s="49">
        <f t="shared" si="11"/>
        <v>55085</v>
      </c>
      <c r="T24" s="44">
        <f ca="1">SUM($H24:(OFFSET($H24,0,AVANCE060826!$T$2)))</f>
        <v>235170</v>
      </c>
      <c r="U24" s="863"/>
    </row>
    <row r="25" spans="1:21" ht="61.5" customHeight="1" thickBot="1" x14ac:dyDescent="0.3">
      <c r="A25" s="122">
        <v>50100</v>
      </c>
      <c r="B25" s="41">
        <v>19001</v>
      </c>
      <c r="C25" s="56"/>
      <c r="D25" s="852"/>
      <c r="E25" s="856"/>
      <c r="F25" s="854"/>
      <c r="G25" s="55" t="s">
        <v>53</v>
      </c>
      <c r="H25" s="48"/>
      <c r="I25" s="47">
        <f t="shared" ref="I25:S25" si="12">VLOOKUP($A25&amp;$B25&amp;I$11,Base,9,FALSE)</f>
        <v>0</v>
      </c>
      <c r="J25" s="47">
        <f t="shared" si="12"/>
        <v>49999.98</v>
      </c>
      <c r="K25" s="47">
        <f t="shared" si="12"/>
        <v>24999.99</v>
      </c>
      <c r="L25" s="47">
        <f t="shared" si="12"/>
        <v>24999.99</v>
      </c>
      <c r="M25" s="47">
        <f t="shared" si="12"/>
        <v>24999.99</v>
      </c>
      <c r="N25" s="47">
        <f t="shared" si="12"/>
        <v>27542.5</v>
      </c>
      <c r="O25" s="47">
        <f t="shared" si="12"/>
        <v>27542.5</v>
      </c>
      <c r="P25" s="47">
        <f t="shared" si="12"/>
        <v>27542.5</v>
      </c>
      <c r="Q25" s="47">
        <f t="shared" si="12"/>
        <v>0</v>
      </c>
      <c r="R25" s="47">
        <f t="shared" si="12"/>
        <v>0</v>
      </c>
      <c r="S25" s="47">
        <f t="shared" si="12"/>
        <v>0</v>
      </c>
      <c r="T25" s="44">
        <f t="shared" si="2"/>
        <v>207627.45</v>
      </c>
      <c r="U25" s="864"/>
    </row>
    <row r="26" spans="1:21" ht="15.75" thickBot="1" x14ac:dyDescent="0.3">
      <c r="A26" s="40"/>
      <c r="B26" s="4"/>
      <c r="C26" s="24">
        <f>COUNT(C16:C24)</f>
        <v>0</v>
      </c>
      <c r="D26" s="7"/>
      <c r="E26" s="6"/>
      <c r="F26" s="61">
        <f>SUM(F14:F25)</f>
        <v>13670291.620000001</v>
      </c>
      <c r="G26" s="52" t="s">
        <v>52</v>
      </c>
      <c r="H26" s="50">
        <f>+H24+H18+H16+H14+H22+H20</f>
        <v>0</v>
      </c>
      <c r="I26" s="50">
        <f t="shared" ref="I26:T26" si="13">+I24+I18+I16+I14+I22+I20</f>
        <v>0</v>
      </c>
      <c r="J26" s="50">
        <f t="shared" si="13"/>
        <v>1212778.02</v>
      </c>
      <c r="K26" s="50">
        <f t="shared" si="13"/>
        <v>1765802.7</v>
      </c>
      <c r="L26" s="50">
        <f t="shared" si="13"/>
        <v>1375468.7400000002</v>
      </c>
      <c r="M26" s="50">
        <f t="shared" si="13"/>
        <v>1334476.6400000001</v>
      </c>
      <c r="N26" s="50">
        <f>+N24+N18+N16+N14+N22+N20</f>
        <v>1140247.73</v>
      </c>
      <c r="O26" s="50">
        <f t="shared" si="13"/>
        <v>465836.56</v>
      </c>
      <c r="P26" s="50">
        <f t="shared" si="13"/>
        <v>1814658.94</v>
      </c>
      <c r="Q26" s="50">
        <f t="shared" si="13"/>
        <v>1140290.67</v>
      </c>
      <c r="R26" s="50">
        <f t="shared" si="13"/>
        <v>1140252.5</v>
      </c>
      <c r="S26" s="50">
        <f t="shared" si="13"/>
        <v>2280479.12</v>
      </c>
      <c r="T26" s="50">
        <f t="shared" ca="1" si="13"/>
        <v>10249560</v>
      </c>
      <c r="U26" s="5"/>
    </row>
    <row r="27" spans="1:21" ht="31.5" customHeight="1" thickBot="1" x14ac:dyDescent="0.3">
      <c r="G27" s="51" t="s">
        <v>53</v>
      </c>
      <c r="H27" s="50">
        <f t="shared" ref="H27:T27" si="14">+H25+H19+H17+H15+H23+H21</f>
        <v>0</v>
      </c>
      <c r="I27" s="50">
        <f t="shared" si="14"/>
        <v>0</v>
      </c>
      <c r="J27" s="50">
        <f t="shared" si="14"/>
        <v>1212778.02</v>
      </c>
      <c r="K27" s="50">
        <f t="shared" si="14"/>
        <v>1765802.7</v>
      </c>
      <c r="L27" s="50">
        <f t="shared" si="14"/>
        <v>1375468.7400000002</v>
      </c>
      <c r="M27" s="50">
        <f t="shared" si="14"/>
        <v>1334476.6400000001</v>
      </c>
      <c r="N27" s="50">
        <f>+N25+N19+N17+N15+N23+N21</f>
        <v>1140247.73</v>
      </c>
      <c r="O27" s="50">
        <f t="shared" si="14"/>
        <v>465836.56</v>
      </c>
      <c r="P27" s="50">
        <f t="shared" si="14"/>
        <v>1814658.94</v>
      </c>
      <c r="Q27" s="50">
        <f t="shared" si="14"/>
        <v>0</v>
      </c>
      <c r="R27" s="50">
        <f t="shared" si="14"/>
        <v>0</v>
      </c>
      <c r="S27" s="50">
        <f t="shared" si="14"/>
        <v>0</v>
      </c>
      <c r="T27" s="50">
        <f t="shared" si="14"/>
        <v>9109269.3300000001</v>
      </c>
      <c r="U27" s="857"/>
    </row>
    <row r="28" spans="1:21" ht="31.5" customHeight="1" x14ac:dyDescent="0.25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857"/>
    </row>
    <row r="29" spans="1:21" ht="31.5" customHeight="1" x14ac:dyDescent="0.25">
      <c r="H29" s="9">
        <v>1137705.98</v>
      </c>
      <c r="I29">
        <v>1140248.48</v>
      </c>
      <c r="J29">
        <v>1140248.48</v>
      </c>
      <c r="K29">
        <v>1140248.48</v>
      </c>
      <c r="L29">
        <v>1140248.48</v>
      </c>
      <c r="M29">
        <v>1140247.6499999999</v>
      </c>
      <c r="N29">
        <v>1140247.6499999999</v>
      </c>
      <c r="T29" s="3"/>
    </row>
    <row r="30" spans="1:21" x14ac:dyDescent="0.25">
      <c r="T30" s="3"/>
    </row>
  </sheetData>
  <mergeCells count="41">
    <mergeCell ref="U27:U28"/>
    <mergeCell ref="D8:U8"/>
    <mergeCell ref="C12:C13"/>
    <mergeCell ref="D12:D13"/>
    <mergeCell ref="E12:E13"/>
    <mergeCell ref="U12:U13"/>
    <mergeCell ref="F12:F13"/>
    <mergeCell ref="U14:U15"/>
    <mergeCell ref="U16:U17"/>
    <mergeCell ref="U18:U19"/>
    <mergeCell ref="U24:U25"/>
    <mergeCell ref="D14:D15"/>
    <mergeCell ref="D16:D17"/>
    <mergeCell ref="D18:D19"/>
    <mergeCell ref="D24:D25"/>
    <mergeCell ref="D22:D23"/>
    <mergeCell ref="D20:D21"/>
    <mergeCell ref="F14:F15"/>
    <mergeCell ref="F16:F17"/>
    <mergeCell ref="F18:F19"/>
    <mergeCell ref="F24:F25"/>
    <mergeCell ref="F22:F23"/>
    <mergeCell ref="F20:F21"/>
    <mergeCell ref="E14:E15"/>
    <mergeCell ref="E16:E17"/>
    <mergeCell ref="E18:E19"/>
    <mergeCell ref="E24:E25"/>
    <mergeCell ref="E22:E23"/>
    <mergeCell ref="E20:E21"/>
    <mergeCell ref="H12:H13"/>
    <mergeCell ref="I12:I13"/>
    <mergeCell ref="J12:J13"/>
    <mergeCell ref="K12:K13"/>
    <mergeCell ref="L12:L13"/>
    <mergeCell ref="R12:R13"/>
    <mergeCell ref="S12:S13"/>
    <mergeCell ref="M12:M13"/>
    <mergeCell ref="N12:N13"/>
    <mergeCell ref="O12:O13"/>
    <mergeCell ref="P12:P13"/>
    <mergeCell ref="Q12:Q13"/>
  </mergeCells>
  <hyperlinks>
    <hyperlink ref="E14" r:id="rId1" display="OFICINAS ADMINISTRATIVAS DE LA SUBDELEGACION METROPOLITANA NORTE"/>
    <hyperlink ref="E16" r:id="rId2" display="OFICINAS ADMINISTRATIVAS DE LA SUBDELEGACION METROPOLITANA SUR"/>
    <hyperlink ref="E18" r:id="rId3" display="CENTRO DE CAPACITACIÓN"/>
    <hyperlink ref="E24" r:id="rId4" display="ALMACEN DELEGACIONAL, OFICINAS DE LA COORDINACION DELEGACIONAL, BODEGA DE BIENES EMBARGADOS Y ARCHIVO DE CONCENTRACIÓN Y BAJAS"/>
    <hyperlink ref="E16" r:id="rId5"/>
    <hyperlink ref="E18" r:id="rId6"/>
    <hyperlink ref="E24" r:id="rId7" display="Almacén Delegacional, Oficinas de la Coordinación Delegacional, Bod.  Bienes Emb. y Arch. Conc."/>
  </hyperlinks>
  <printOptions horizontalCentered="1" verticalCentered="1"/>
  <pageMargins left="0.25" right="0.25" top="0.279296875" bottom="0.75" header="0.3" footer="0.3"/>
  <pageSetup scale="34" fitToHeight="21" orientation="landscape" r:id="rId8"/>
  <ignoredErrors>
    <ignoredError sqref="I15:S23" formula="1"/>
  </ignoredErrors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view="pageBreakPreview" topLeftCell="A4" zoomScale="85" zoomScaleNormal="100" zoomScaleSheetLayoutView="85" zoomScalePageLayoutView="80" workbookViewId="0">
      <pane xSplit="1" topLeftCell="B1" activePane="topRight" state="frozen"/>
      <selection pane="topRight" activeCell="D7" sqref="D7:I7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5" customWidth="1"/>
    <col min="7" max="7" width="15.85546875" customWidth="1"/>
    <col min="8" max="8" width="17.85546875" customWidth="1"/>
    <col min="9" max="9" width="47.140625" customWidth="1"/>
    <col min="10" max="10" width="5" customWidth="1"/>
    <col min="11" max="11" width="28" customWidth="1"/>
    <col min="12" max="16361" width="11.42578125" customWidth="1"/>
  </cols>
  <sheetData>
    <row r="1" spans="1:9" ht="18" x14ac:dyDescent="0.25">
      <c r="D1" s="10" t="s">
        <v>25</v>
      </c>
      <c r="I1" s="11"/>
    </row>
    <row r="2" spans="1:9" ht="18" x14ac:dyDescent="0.25">
      <c r="D2" s="10" t="s">
        <v>24</v>
      </c>
    </row>
    <row r="3" spans="1:9" ht="18" x14ac:dyDescent="0.25">
      <c r="D3" s="10" t="s">
        <v>23</v>
      </c>
    </row>
    <row r="4" spans="1:9" ht="18" x14ac:dyDescent="0.25">
      <c r="D4" s="10" t="s">
        <v>22</v>
      </c>
    </row>
    <row r="5" spans="1:9" ht="18" x14ac:dyDescent="0.25">
      <c r="D5" s="10" t="s">
        <v>21</v>
      </c>
    </row>
    <row r="6" spans="1:9" ht="20.25" x14ac:dyDescent="0.3">
      <c r="D6" s="14" t="s">
        <v>20</v>
      </c>
      <c r="E6" s="15"/>
      <c r="F6" s="16"/>
      <c r="G6" s="16"/>
      <c r="H6" s="16"/>
      <c r="I6" s="17"/>
    </row>
    <row r="7" spans="1:9" ht="21" x14ac:dyDescent="0.35">
      <c r="D7" s="826" t="s">
        <v>19</v>
      </c>
      <c r="E7" s="826"/>
      <c r="F7" s="826"/>
      <c r="G7" s="826"/>
      <c r="H7" s="826"/>
      <c r="I7" s="826"/>
    </row>
    <row r="8" spans="1:9" ht="18" x14ac:dyDescent="0.25">
      <c r="D8" s="39" t="s">
        <v>31</v>
      </c>
      <c r="E8" s="10" t="s">
        <v>30</v>
      </c>
    </row>
    <row r="9" spans="1:9" ht="15.75" thickBot="1" x14ac:dyDescent="0.3"/>
    <row r="10" spans="1:9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34</v>
      </c>
      <c r="G10" s="865" t="s">
        <v>32</v>
      </c>
      <c r="H10" s="836" t="s">
        <v>33</v>
      </c>
      <c r="I10" s="834" t="s">
        <v>14</v>
      </c>
    </row>
    <row r="11" spans="1:9" ht="37.5" customHeight="1" thickBot="1" x14ac:dyDescent="0.3">
      <c r="A11" s="33" t="s">
        <v>13</v>
      </c>
      <c r="B11" s="25" t="s">
        <v>12</v>
      </c>
      <c r="C11" s="845"/>
      <c r="D11" s="829"/>
      <c r="E11" s="848"/>
      <c r="F11" s="849"/>
      <c r="G11" s="866"/>
      <c r="H11" s="849"/>
      <c r="I11" s="867"/>
    </row>
    <row r="12" spans="1:9" ht="57" customHeight="1" thickTop="1" x14ac:dyDescent="0.25">
      <c r="A12" s="34" t="s">
        <v>11</v>
      </c>
      <c r="B12" s="22">
        <v>900110</v>
      </c>
      <c r="C12" s="8"/>
      <c r="D12" s="18" t="s">
        <v>10</v>
      </c>
      <c r="E12" s="12" t="s">
        <v>9</v>
      </c>
      <c r="F12" s="28">
        <v>134774</v>
      </c>
      <c r="G12" s="31">
        <f>+F12*1.16</f>
        <v>156337.84</v>
      </c>
      <c r="H12" s="31">
        <f>+G12*12</f>
        <v>1876054.08</v>
      </c>
      <c r="I12" s="27" t="s">
        <v>36</v>
      </c>
    </row>
    <row r="13" spans="1:9" ht="45.75" customHeight="1" x14ac:dyDescent="0.25">
      <c r="A13" s="35" t="s">
        <v>8</v>
      </c>
      <c r="B13" s="23">
        <v>900110</v>
      </c>
      <c r="C13" s="21"/>
      <c r="D13" s="18" t="s">
        <v>7</v>
      </c>
      <c r="E13" s="13" t="s">
        <v>6</v>
      </c>
      <c r="F13" s="29">
        <v>98600</v>
      </c>
      <c r="G13" s="31">
        <f>+F13*1.16</f>
        <v>114375.99999999999</v>
      </c>
      <c r="H13" s="31">
        <f>+G13*12</f>
        <v>1372511.9999999998</v>
      </c>
      <c r="I13" s="27" t="s">
        <v>35</v>
      </c>
    </row>
    <row r="14" spans="1:9" ht="42.75" customHeight="1" x14ac:dyDescent="0.25">
      <c r="A14" s="35" t="s">
        <v>5</v>
      </c>
      <c r="B14" s="23">
        <v>800201</v>
      </c>
      <c r="C14" s="21"/>
      <c r="D14" s="18" t="s">
        <v>4</v>
      </c>
      <c r="E14" s="13" t="s">
        <v>3</v>
      </c>
      <c r="F14" s="30">
        <v>58000</v>
      </c>
      <c r="G14" s="31">
        <f>+F14*1.16</f>
        <v>67280</v>
      </c>
      <c r="H14" s="31">
        <f>+G14*12</f>
        <v>807360</v>
      </c>
      <c r="I14" s="27" t="s">
        <v>35</v>
      </c>
    </row>
    <row r="15" spans="1:9" ht="61.5" customHeight="1" thickBot="1" x14ac:dyDescent="0.3">
      <c r="A15" s="36" t="s">
        <v>2</v>
      </c>
      <c r="B15" s="37">
        <v>150100</v>
      </c>
      <c r="C15" s="38"/>
      <c r="D15" s="19" t="s">
        <v>1</v>
      </c>
      <c r="E15" s="20" t="s">
        <v>0</v>
      </c>
      <c r="F15" s="29">
        <v>319000</v>
      </c>
      <c r="G15" s="31">
        <f>+F15*1.16</f>
        <v>370040</v>
      </c>
      <c r="H15" s="31">
        <f>+G15*12</f>
        <v>4440480</v>
      </c>
      <c r="I15" s="27"/>
    </row>
    <row r="16" spans="1:9" ht="64.5" customHeight="1" thickBot="1" x14ac:dyDescent="0.3">
      <c r="A16" s="59" t="s">
        <v>2</v>
      </c>
      <c r="B16" s="60" t="s">
        <v>37</v>
      </c>
      <c r="C16" s="38"/>
      <c r="D16" s="19" t="s">
        <v>54</v>
      </c>
      <c r="E16" s="855" t="s">
        <v>56</v>
      </c>
      <c r="F16" s="868">
        <v>276000</v>
      </c>
      <c r="G16" s="31">
        <f>+F16*1.16</f>
        <v>320160</v>
      </c>
      <c r="H16" s="31">
        <f>+G16*12</f>
        <v>3841920</v>
      </c>
      <c r="I16" s="27" t="s">
        <v>55</v>
      </c>
    </row>
    <row r="17" spans="1:9" ht="15.75" thickBot="1" x14ac:dyDescent="0.3">
      <c r="A17" s="4"/>
      <c r="B17" s="40">
        <v>4</v>
      </c>
      <c r="C17" s="24">
        <f>COUNT(C13:C16)</f>
        <v>0</v>
      </c>
      <c r="D17" s="7"/>
      <c r="E17" s="856"/>
      <c r="F17" s="869"/>
      <c r="G17" s="32">
        <f>SUM(G12:G16)</f>
        <v>1028193.84</v>
      </c>
      <c r="H17" s="32">
        <f>SUM(H12:H16)</f>
        <v>12338326.08</v>
      </c>
      <c r="I17" s="5"/>
    </row>
    <row r="18" spans="1:9" ht="31.5" customHeight="1" x14ac:dyDescent="0.25">
      <c r="F18" s="3"/>
      <c r="G18" s="3"/>
      <c r="H18" s="3"/>
      <c r="I18" s="857"/>
    </row>
    <row r="19" spans="1:9" ht="31.5" customHeight="1" x14ac:dyDescent="0.25">
      <c r="I19" s="857"/>
    </row>
    <row r="20" spans="1:9" ht="31.5" customHeight="1" x14ac:dyDescent="0.25"/>
  </sheetData>
  <mergeCells count="12">
    <mergeCell ref="I18:I19"/>
    <mergeCell ref="G10:G11"/>
    <mergeCell ref="H10:H11"/>
    <mergeCell ref="D7:I7"/>
    <mergeCell ref="A10:B10"/>
    <mergeCell ref="C10:C11"/>
    <mergeCell ref="D10:D11"/>
    <mergeCell ref="E10:E11"/>
    <mergeCell ref="F10:F11"/>
    <mergeCell ref="I10:I11"/>
    <mergeCell ref="E16:E17"/>
    <mergeCell ref="F16:F17"/>
  </mergeCells>
  <hyperlinks>
    <hyperlink ref="E12" r:id="rId1" display="OFICINAS ADMINISTRATIVAS DE LA SUBDELEGACION METROPOLITANA NORTE"/>
    <hyperlink ref="E13" r:id="rId2"/>
    <hyperlink ref="E14" r:id="rId3"/>
    <hyperlink ref="E15" r:id="rId4"/>
  </hyperlinks>
  <printOptions horizontalCentered="1" verticalCentered="1"/>
  <pageMargins left="0.59055118110236227" right="0.39370078740157483" top="0.15748031496062992" bottom="0.15748031496062992" header="0.31496062992125984" footer="0.31496062992125984"/>
  <pageSetup scale="85" fitToHeight="21" orientation="landscape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showGridLines="0" zoomScaleNormal="100" zoomScaleSheetLayoutView="85" zoomScalePageLayoutView="80" workbookViewId="0">
      <pane xSplit="1" topLeftCell="E1" activePane="topRight" state="frozen"/>
      <selection activeCell="A7" sqref="A7"/>
      <selection pane="topRight" activeCell="O13" sqref="O13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customWidth="1"/>
    <col min="10" max="10" width="14.28515625" customWidth="1"/>
    <col min="11" max="11" width="11.7109375" hidden="1" customWidth="1"/>
    <col min="12" max="12" width="10.28515625" hidden="1" customWidth="1"/>
    <col min="13" max="13" width="47.140625" customWidth="1"/>
    <col min="14" max="14" width="1.5703125" customWidth="1"/>
    <col min="15" max="15" width="28" customWidth="1"/>
    <col min="16" max="16365" width="11.42578125" customWidth="1"/>
  </cols>
  <sheetData>
    <row r="1" spans="1:15" ht="18" x14ac:dyDescent="0.25">
      <c r="D1" s="10" t="s">
        <v>25</v>
      </c>
      <c r="M1" s="11"/>
    </row>
    <row r="2" spans="1:15" ht="18" x14ac:dyDescent="0.25">
      <c r="D2" s="10" t="s">
        <v>24</v>
      </c>
    </row>
    <row r="3" spans="1:15" ht="18" x14ac:dyDescent="0.25">
      <c r="D3" s="10" t="s">
        <v>23</v>
      </c>
    </row>
    <row r="4" spans="1:15" ht="18" x14ac:dyDescent="0.25">
      <c r="D4" s="10" t="s">
        <v>22</v>
      </c>
      <c r="K4" s="9"/>
      <c r="L4" s="9"/>
    </row>
    <row r="5" spans="1:15" ht="18" x14ac:dyDescent="0.25">
      <c r="D5" s="10" t="s">
        <v>21</v>
      </c>
    </row>
    <row r="6" spans="1:15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5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5" ht="18" x14ac:dyDescent="0.25">
      <c r="D8" s="39" t="s">
        <v>31</v>
      </c>
      <c r="E8" s="10" t="s">
        <v>121</v>
      </c>
      <c r="H8" s="9"/>
    </row>
    <row r="9" spans="1:15" ht="7.5" customHeight="1" thickBot="1" x14ac:dyDescent="0.3">
      <c r="D9" s="10"/>
    </row>
    <row r="10" spans="1:15" ht="18" customHeight="1" x14ac:dyDescent="0.25">
      <c r="A10" s="842" t="s">
        <v>18</v>
      </c>
      <c r="B10" s="870"/>
      <c r="C10" s="871" t="s">
        <v>17</v>
      </c>
      <c r="D10" s="846" t="s">
        <v>16</v>
      </c>
      <c r="E10" s="847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</row>
    <row r="11" spans="1:15" ht="34.5" customHeight="1" thickBot="1" x14ac:dyDescent="0.3">
      <c r="A11" s="33" t="s">
        <v>13</v>
      </c>
      <c r="B11" s="131" t="s">
        <v>12</v>
      </c>
      <c r="C11" s="872"/>
      <c r="D11" s="829"/>
      <c r="E11" s="848"/>
      <c r="F11" s="849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41"/>
    </row>
    <row r="12" spans="1:15" ht="78.75" hidden="1" customHeight="1" x14ac:dyDescent="0.25">
      <c r="A12" s="132" t="s">
        <v>157</v>
      </c>
      <c r="B12" s="133">
        <v>310203</v>
      </c>
      <c r="C12" s="134"/>
      <c r="D12" s="135" t="s">
        <v>158</v>
      </c>
      <c r="E12" s="136" t="s">
        <v>159</v>
      </c>
      <c r="F12" s="137"/>
      <c r="G12" s="138"/>
      <c r="H12" s="139"/>
      <c r="I12" s="140"/>
      <c r="J12" s="73">
        <f>+I12-H12</f>
        <v>0</v>
      </c>
      <c r="K12" s="74" t="e">
        <f>+J12/H12*100</f>
        <v>#DIV/0!</v>
      </c>
      <c r="L12" s="75" t="e">
        <f>+I12/H12*100</f>
        <v>#DIV/0!</v>
      </c>
      <c r="M12" s="76" t="s">
        <v>160</v>
      </c>
    </row>
    <row r="13" spans="1:15" ht="102" customHeight="1" thickTop="1" thickBot="1" x14ac:dyDescent="0.3">
      <c r="A13" s="141" t="s">
        <v>161</v>
      </c>
      <c r="B13" s="142">
        <v>900110</v>
      </c>
      <c r="C13" s="110"/>
      <c r="D13" s="143" t="s">
        <v>162</v>
      </c>
      <c r="E13" s="144" t="s">
        <v>163</v>
      </c>
      <c r="F13" s="145">
        <f>BC_Calendario!F13</f>
        <v>4593600</v>
      </c>
      <c r="G13" s="146">
        <v>382800</v>
      </c>
      <c r="H13" s="147">
        <f ca="1">BC_Calendario!T13</f>
        <v>3445200</v>
      </c>
      <c r="I13" s="148">
        <f>BC_Calendario!T14</f>
        <v>3062400</v>
      </c>
      <c r="J13" s="73">
        <f ca="1">H13-I13</f>
        <v>382800</v>
      </c>
      <c r="K13" s="82">
        <f ca="1">+J13/H13*100</f>
        <v>11.111111111111111</v>
      </c>
      <c r="L13" s="83">
        <f ca="1">+I13/H13*100</f>
        <v>88.888888888888886</v>
      </c>
      <c r="M13" s="149" t="s">
        <v>778</v>
      </c>
      <c r="O13" s="9"/>
    </row>
    <row r="14" spans="1:15" ht="15.75" thickBot="1" x14ac:dyDescent="0.3">
      <c r="A14" s="4"/>
      <c r="B14" s="4">
        <v>1</v>
      </c>
      <c r="C14" s="24">
        <f>COUNT(#REF!)</f>
        <v>0</v>
      </c>
      <c r="D14" s="7"/>
      <c r="E14" s="6"/>
      <c r="F14" s="32">
        <f>SUM(F12:F13)</f>
        <v>4593600</v>
      </c>
      <c r="G14" s="32">
        <f>SUM(G12:G13)</f>
        <v>382800</v>
      </c>
      <c r="H14" s="32">
        <f ca="1">+H13</f>
        <v>3445200</v>
      </c>
      <c r="I14" s="32">
        <f>+I13</f>
        <v>3062400</v>
      </c>
      <c r="J14" s="73">
        <f ca="1">H14-I14</f>
        <v>382800</v>
      </c>
      <c r="K14" s="150">
        <f ca="1">+J14/H14*100</f>
        <v>11.111111111111111</v>
      </c>
      <c r="L14" s="151">
        <f ca="1">+I14/H14*100</f>
        <v>88.888888888888886</v>
      </c>
      <c r="M14" s="5"/>
    </row>
    <row r="15" spans="1:15" ht="31.5" customHeight="1" x14ac:dyDescent="0.25">
      <c r="F15" s="3"/>
      <c r="G15" s="3"/>
      <c r="H15" s="2"/>
      <c r="I15" s="2"/>
      <c r="J15" s="2"/>
      <c r="K15" s="2"/>
      <c r="L15" s="2"/>
      <c r="M15" s="857"/>
    </row>
    <row r="16" spans="1:15" ht="31.5" customHeight="1" x14ac:dyDescent="0.25">
      <c r="H16" s="2"/>
      <c r="I16" s="2"/>
      <c r="J16" s="2"/>
      <c r="K16" s="2"/>
      <c r="L16" s="2"/>
      <c r="M16" s="857"/>
    </row>
    <row r="17" ht="31.5" customHeight="1" x14ac:dyDescent="0.25"/>
  </sheetData>
  <mergeCells count="12">
    <mergeCell ref="M10:M11"/>
    <mergeCell ref="M15:M16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hyperlinks>
    <hyperlink ref="E12" r:id="rId1"/>
    <hyperlink ref="E13" r:id="rId2"/>
  </hyperlinks>
  <printOptions horizontalCentered="1" verticalCentered="1"/>
  <pageMargins left="0.59055118110236227" right="0.39370078740157483" top="0.15748031496062992" bottom="0.15748031496062992" header="0.31496062992125984" footer="0.31496062992125984"/>
  <pageSetup scale="63" fitToHeight="21"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view="pageBreakPreview" topLeftCell="A5" zoomScale="70" zoomScaleNormal="100" zoomScaleSheetLayoutView="70" zoomScalePageLayoutView="80" workbookViewId="0">
      <pane xSplit="7" ySplit="8" topLeftCell="R13" activePane="bottomRight" state="frozen"/>
      <selection activeCell="D36" sqref="D36"/>
      <selection pane="topRight" activeCell="D36" sqref="D36"/>
      <selection pane="bottomLeft" activeCell="D36" sqref="D36"/>
      <selection pane="bottomRight" activeCell="AB16" sqref="AB16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19.7109375" style="1" customWidth="1"/>
    <col min="6" max="6" width="20.7109375" customWidth="1"/>
    <col min="7" max="7" width="11.28515625" customWidth="1"/>
    <col min="8" max="8" width="18.42578125" customWidth="1"/>
    <col min="9" max="9" width="17.42578125" customWidth="1"/>
    <col min="10" max="10" width="19.5703125" customWidth="1"/>
    <col min="11" max="11" width="16.85546875" customWidth="1"/>
    <col min="12" max="12" width="17.42578125" customWidth="1"/>
    <col min="13" max="13" width="17.28515625" bestFit="1" customWidth="1"/>
    <col min="14" max="14" width="17" customWidth="1"/>
    <col min="15" max="16" width="17.28515625" customWidth="1"/>
    <col min="17" max="17" width="20.28515625" customWidth="1"/>
    <col min="18" max="18" width="20" customWidth="1"/>
    <col min="19" max="19" width="17.28515625" customWidth="1"/>
    <col min="20" max="20" width="20.425781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  <c r="T5" s="3"/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52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165</v>
      </c>
      <c r="E8" s="878" t="s">
        <v>930</v>
      </c>
      <c r="F8" s="878"/>
      <c r="G8" s="878"/>
      <c r="H8" s="878"/>
      <c r="I8" s="878"/>
      <c r="J8" s="878"/>
      <c r="K8" s="878"/>
      <c r="L8" s="878"/>
      <c r="M8" s="878"/>
      <c r="N8" s="878"/>
      <c r="O8" s="878"/>
      <c r="P8" s="878"/>
      <c r="Q8" s="878"/>
      <c r="R8" s="878"/>
      <c r="S8" s="878"/>
      <c r="T8" s="878"/>
      <c r="U8" s="9"/>
    </row>
    <row r="9" spans="1:21" ht="18.75" thickBot="1" x14ac:dyDescent="0.3">
      <c r="D9" s="39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9"/>
    </row>
    <row r="10" spans="1:21" ht="18.75" hidden="1" thickBot="1" x14ac:dyDescent="0.3">
      <c r="D10" s="10"/>
      <c r="H10" s="3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 s="3"/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80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167</v>
      </c>
      <c r="R11" s="877" t="s">
        <v>49</v>
      </c>
      <c r="S11" s="877" t="s">
        <v>50</v>
      </c>
      <c r="T11" s="153"/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66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153"/>
      <c r="U12" s="877"/>
    </row>
    <row r="13" spans="1:21" ht="83.25" customHeight="1" thickTop="1" x14ac:dyDescent="0.25">
      <c r="A13" s="180">
        <v>900110</v>
      </c>
      <c r="B13" s="141">
        <v>29101</v>
      </c>
      <c r="C13" s="155"/>
      <c r="D13" s="873" t="s">
        <v>162</v>
      </c>
      <c r="E13" s="874" t="s">
        <v>163</v>
      </c>
      <c r="F13" s="875">
        <f>SUM(H13:S13)</f>
        <v>4593600</v>
      </c>
      <c r="G13" s="157" t="s">
        <v>52</v>
      </c>
      <c r="H13" s="712"/>
      <c r="I13" s="183">
        <f t="shared" ref="I13:S13" si="0">VLOOKUP($A13&amp;$B13&amp;I$10,Base,8,FALSE)</f>
        <v>382800</v>
      </c>
      <c r="J13" s="183">
        <f t="shared" si="0"/>
        <v>382800</v>
      </c>
      <c r="K13" s="183">
        <f t="shared" si="0"/>
        <v>382800</v>
      </c>
      <c r="L13" s="183">
        <f t="shared" si="0"/>
        <v>382800</v>
      </c>
      <c r="M13" s="183">
        <f t="shared" si="0"/>
        <v>382800</v>
      </c>
      <c r="N13" s="183">
        <f t="shared" si="0"/>
        <v>382800</v>
      </c>
      <c r="O13" s="183">
        <f t="shared" si="0"/>
        <v>382800</v>
      </c>
      <c r="P13" s="183">
        <f t="shared" si="0"/>
        <v>382800</v>
      </c>
      <c r="Q13" s="183">
        <f t="shared" si="0"/>
        <v>382800</v>
      </c>
      <c r="R13" s="183">
        <f t="shared" si="0"/>
        <v>382800</v>
      </c>
      <c r="S13" s="183">
        <f t="shared" si="0"/>
        <v>765600</v>
      </c>
      <c r="T13" s="47">
        <f ca="1">SUM($H13:(OFFSET($H13,0,AVANCE060826!$T$2)))</f>
        <v>3445200</v>
      </c>
      <c r="U13" s="876"/>
    </row>
    <row r="14" spans="1:21" ht="83.25" customHeight="1" x14ac:dyDescent="0.25">
      <c r="A14" s="714">
        <v>900110</v>
      </c>
      <c r="B14" s="715">
        <v>29101</v>
      </c>
      <c r="C14" s="155"/>
      <c r="D14" s="873"/>
      <c r="E14" s="874"/>
      <c r="F14" s="875"/>
      <c r="G14" s="157" t="s">
        <v>53</v>
      </c>
      <c r="H14" s="713"/>
      <c r="I14" s="712">
        <f t="shared" ref="I14:S14" si="1">VLOOKUP($A14&amp;$B14&amp;I$10,Base,9,FALSE)</f>
        <v>382800</v>
      </c>
      <c r="J14" s="712">
        <f t="shared" si="1"/>
        <v>382800</v>
      </c>
      <c r="K14" s="712">
        <f t="shared" si="1"/>
        <v>382800</v>
      </c>
      <c r="L14" s="712">
        <f t="shared" si="1"/>
        <v>382800</v>
      </c>
      <c r="M14" s="712">
        <f t="shared" si="1"/>
        <v>382800</v>
      </c>
      <c r="N14" s="712">
        <f t="shared" si="1"/>
        <v>382800</v>
      </c>
      <c r="O14" s="712">
        <f t="shared" si="1"/>
        <v>382800</v>
      </c>
      <c r="P14" s="712">
        <f t="shared" si="1"/>
        <v>382800</v>
      </c>
      <c r="Q14" s="712">
        <f t="shared" si="1"/>
        <v>0</v>
      </c>
      <c r="R14" s="712">
        <f t="shared" si="1"/>
        <v>0</v>
      </c>
      <c r="S14" s="712">
        <f t="shared" si="1"/>
        <v>0</v>
      </c>
      <c r="T14" s="47">
        <f>SUM(H14:S14)</f>
        <v>3062400</v>
      </c>
      <c r="U14" s="876"/>
    </row>
    <row r="15" spans="1:21" x14ac:dyDescent="0.25">
      <c r="A15" s="40"/>
      <c r="B15" s="4"/>
      <c r="C15" s="24">
        <f>COUNT(#REF!)</f>
        <v>0</v>
      </c>
      <c r="D15" s="174"/>
      <c r="E15" s="175"/>
      <c r="F15" s="176">
        <f>SUM(F13:F14)</f>
        <v>4593600</v>
      </c>
      <c r="G15" s="157" t="s">
        <v>52</v>
      </c>
      <c r="H15" s="339">
        <f>+H13</f>
        <v>0</v>
      </c>
      <c r="I15" s="339">
        <f t="shared" ref="I15:S15" si="2">+I13</f>
        <v>382800</v>
      </c>
      <c r="J15" s="339">
        <f t="shared" si="2"/>
        <v>382800</v>
      </c>
      <c r="K15" s="339">
        <f t="shared" si="2"/>
        <v>382800</v>
      </c>
      <c r="L15" s="339">
        <f t="shared" si="2"/>
        <v>382800</v>
      </c>
      <c r="M15" s="339">
        <f t="shared" si="2"/>
        <v>382800</v>
      </c>
      <c r="N15" s="339">
        <f t="shared" si="2"/>
        <v>382800</v>
      </c>
      <c r="O15" s="339">
        <f t="shared" si="2"/>
        <v>382800</v>
      </c>
      <c r="P15" s="339">
        <f t="shared" si="2"/>
        <v>382800</v>
      </c>
      <c r="Q15" s="339">
        <f t="shared" si="2"/>
        <v>382800</v>
      </c>
      <c r="R15" s="339">
        <f t="shared" si="2"/>
        <v>382800</v>
      </c>
      <c r="S15" s="339">
        <f t="shared" si="2"/>
        <v>765600</v>
      </c>
      <c r="T15" s="176">
        <f ca="1">T13</f>
        <v>3445200</v>
      </c>
      <c r="U15" s="177"/>
    </row>
    <row r="16" spans="1:21" ht="31.5" customHeight="1" x14ac:dyDescent="0.25">
      <c r="F16" s="178"/>
      <c r="G16" s="157" t="s">
        <v>53</v>
      </c>
      <c r="H16" s="339"/>
      <c r="I16" s="339">
        <f t="shared" ref="I16:S16" si="3">+I14</f>
        <v>382800</v>
      </c>
      <c r="J16" s="339">
        <f t="shared" si="3"/>
        <v>382800</v>
      </c>
      <c r="K16" s="339">
        <f t="shared" si="3"/>
        <v>382800</v>
      </c>
      <c r="L16" s="339">
        <f t="shared" si="3"/>
        <v>382800</v>
      </c>
      <c r="M16" s="339">
        <f t="shared" si="3"/>
        <v>382800</v>
      </c>
      <c r="N16" s="339">
        <f t="shared" si="3"/>
        <v>382800</v>
      </c>
      <c r="O16" s="339">
        <f t="shared" si="3"/>
        <v>382800</v>
      </c>
      <c r="P16" s="339">
        <f t="shared" si="3"/>
        <v>382800</v>
      </c>
      <c r="Q16" s="339">
        <f t="shared" si="3"/>
        <v>0</v>
      </c>
      <c r="R16" s="339">
        <f t="shared" si="3"/>
        <v>0</v>
      </c>
      <c r="S16" s="339">
        <f t="shared" si="3"/>
        <v>0</v>
      </c>
      <c r="T16" s="176">
        <f>T14</f>
        <v>3062400</v>
      </c>
      <c r="U16" s="70"/>
    </row>
    <row r="17" spans="6:20" ht="31.5" customHeight="1" x14ac:dyDescent="0.25"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</sheetData>
  <mergeCells count="24">
    <mergeCell ref="D7:U7"/>
    <mergeCell ref="E8:T8"/>
    <mergeCell ref="C11:C12"/>
    <mergeCell ref="D11:D12"/>
    <mergeCell ref="E11:E12"/>
    <mergeCell ref="F11:F12"/>
    <mergeCell ref="G11:G12"/>
    <mergeCell ref="H11:H12"/>
    <mergeCell ref="I11:I12"/>
    <mergeCell ref="U11:U12"/>
    <mergeCell ref="D13:D14"/>
    <mergeCell ref="E13:E14"/>
    <mergeCell ref="F13:F14"/>
    <mergeCell ref="U13:U14"/>
    <mergeCell ref="P11:P12"/>
    <mergeCell ref="Q11:Q12"/>
    <mergeCell ref="R11:R12"/>
    <mergeCell ref="S11:S12"/>
    <mergeCell ref="J11:J12"/>
    <mergeCell ref="K11:K12"/>
    <mergeCell ref="L11:L12"/>
    <mergeCell ref="M11:M12"/>
    <mergeCell ref="N11:N12"/>
    <mergeCell ref="O11:O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5" fitToHeight="2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topLeftCell="A13" zoomScaleNormal="100" zoomScaleSheetLayoutView="90" zoomScalePageLayoutView="80" workbookViewId="0">
      <pane xSplit="1" topLeftCell="E1" activePane="topRight" state="frozen"/>
      <selection activeCell="A9" sqref="A9:XFD9"/>
      <selection pane="topRight" activeCell="O12" sqref="O12:O16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710937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customWidth="1"/>
    <col min="10" max="10" width="14.5703125" customWidth="1"/>
    <col min="11" max="11" width="11.7109375" hidden="1" customWidth="1"/>
    <col min="12" max="12" width="10.28515625" hidden="1" customWidth="1"/>
    <col min="13" max="13" width="42.5703125" customWidth="1"/>
    <col min="14" max="14" width="0.85546875" customWidth="1"/>
    <col min="15" max="15" width="28" customWidth="1"/>
    <col min="16" max="16365" width="11.42578125" customWidth="1"/>
  </cols>
  <sheetData>
    <row r="1" spans="1:15" ht="18" x14ac:dyDescent="0.25">
      <c r="D1" s="10" t="s">
        <v>25</v>
      </c>
      <c r="M1" s="11"/>
    </row>
    <row r="2" spans="1:15" ht="18" x14ac:dyDescent="0.25">
      <c r="D2" s="10" t="s">
        <v>24</v>
      </c>
    </row>
    <row r="3" spans="1:15" ht="18" x14ac:dyDescent="0.25">
      <c r="D3" s="10" t="s">
        <v>23</v>
      </c>
    </row>
    <row r="4" spans="1:15" ht="18" x14ac:dyDescent="0.25">
      <c r="D4" s="10" t="s">
        <v>22</v>
      </c>
      <c r="K4" s="9"/>
      <c r="L4" s="9"/>
    </row>
    <row r="5" spans="1:15" ht="18" x14ac:dyDescent="0.25">
      <c r="D5" s="10" t="s">
        <v>21</v>
      </c>
    </row>
    <row r="6" spans="1:15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5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5" ht="18" x14ac:dyDescent="0.25">
      <c r="D8" s="39" t="s">
        <v>165</v>
      </c>
      <c r="E8" s="878" t="s">
        <v>166</v>
      </c>
      <c r="F8" s="878"/>
      <c r="G8" s="878"/>
      <c r="H8" s="878"/>
      <c r="I8" s="878"/>
      <c r="J8" s="878"/>
      <c r="K8" s="878"/>
      <c r="L8" s="878"/>
      <c r="M8" s="9"/>
    </row>
    <row r="9" spans="1:15" ht="4.5" customHeight="1" thickBot="1" x14ac:dyDescent="0.3">
      <c r="D9" s="10"/>
      <c r="F9" s="305"/>
      <c r="G9" s="721"/>
      <c r="H9" s="9"/>
      <c r="I9" s="9"/>
    </row>
    <row r="10" spans="1:15" ht="18" customHeight="1" x14ac:dyDescent="0.25">
      <c r="A10" s="883" t="s">
        <v>18</v>
      </c>
      <c r="B10" s="883"/>
      <c r="C10" s="884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5" ht="34.5" customHeight="1" thickBot="1" x14ac:dyDescent="0.3">
      <c r="A11" s="8" t="s">
        <v>13</v>
      </c>
      <c r="B11" s="8" t="s">
        <v>12</v>
      </c>
      <c r="C11" s="884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5" ht="83.25" customHeight="1" thickTop="1" thickBot="1" x14ac:dyDescent="0.3">
      <c r="A12" s="716">
        <v>39001</v>
      </c>
      <c r="B12" s="154">
        <v>200100</v>
      </c>
      <c r="C12" s="722"/>
      <c r="D12" s="240" t="s">
        <v>168</v>
      </c>
      <c r="E12" s="241" t="s">
        <v>169</v>
      </c>
      <c r="F12" s="47">
        <f>BCS_Calendario!F13</f>
        <v>518724</v>
      </c>
      <c r="G12" s="47">
        <f>37264.5*1.16</f>
        <v>43226.82</v>
      </c>
      <c r="H12" s="628">
        <f ca="1">BCS_Calendario!T13</f>
        <v>389043</v>
      </c>
      <c r="I12" s="628">
        <f>BCS_Calendario!T14</f>
        <v>389041.16</v>
      </c>
      <c r="J12" s="73">
        <f t="shared" ref="J12:J17" ca="1" si="0">H12-I12</f>
        <v>1.8400000000256114</v>
      </c>
      <c r="K12" s="67">
        <f ca="1">+J12/H12*100</f>
        <v>4.7295543166837889E-4</v>
      </c>
      <c r="L12" s="67">
        <f t="shared" ref="L12:L17" ca="1" si="1">+I12/H12*100</f>
        <v>99.999527044568339</v>
      </c>
      <c r="M12" s="255" t="s">
        <v>969</v>
      </c>
      <c r="O12" s="9"/>
    </row>
    <row r="13" spans="1:15" ht="78" customHeight="1" thickTop="1" x14ac:dyDescent="0.25">
      <c r="A13" s="716">
        <v>39102</v>
      </c>
      <c r="B13" s="154">
        <v>900110</v>
      </c>
      <c r="C13" s="722"/>
      <c r="D13" s="240" t="s">
        <v>170</v>
      </c>
      <c r="E13" s="241" t="s">
        <v>171</v>
      </c>
      <c r="F13" s="47">
        <f>BCS_Calendario!F15</f>
        <v>344182.8</v>
      </c>
      <c r="G13" s="47">
        <f>+F13/12</f>
        <v>28681.899999999998</v>
      </c>
      <c r="H13" s="628">
        <f ca="1">BCS_Calendario!T15</f>
        <v>258137.99999999997</v>
      </c>
      <c r="I13" s="628">
        <f>BCS_Calendario!T16</f>
        <v>229451.19999999998</v>
      </c>
      <c r="J13" s="73">
        <f t="shared" ca="1" si="0"/>
        <v>28686.799999999988</v>
      </c>
      <c r="K13" s="67">
        <f ca="1">+J13/H13*100</f>
        <v>11.112970581626879</v>
      </c>
      <c r="L13" s="67">
        <f t="shared" ca="1" si="1"/>
        <v>88.887029418373118</v>
      </c>
      <c r="M13" s="255" t="s">
        <v>969</v>
      </c>
      <c r="O13" s="9"/>
    </row>
    <row r="14" spans="1:15" ht="97.5" customHeight="1" x14ac:dyDescent="0.25">
      <c r="A14" s="162">
        <v>39103</v>
      </c>
      <c r="B14" s="163">
        <v>900110</v>
      </c>
      <c r="C14" s="722"/>
      <c r="D14" s="240" t="s">
        <v>172</v>
      </c>
      <c r="E14" s="23" t="s">
        <v>171</v>
      </c>
      <c r="F14" s="47">
        <f>BCS_Calendario!F17</f>
        <v>125280</v>
      </c>
      <c r="G14" s="47">
        <v>10440</v>
      </c>
      <c r="H14" s="628">
        <f ca="1">BCS_Calendario!T17</f>
        <v>93960</v>
      </c>
      <c r="I14" s="628">
        <f>BCS_Calendario!T18</f>
        <v>83520</v>
      </c>
      <c r="J14" s="73">
        <f t="shared" ca="1" si="0"/>
        <v>10440</v>
      </c>
      <c r="K14" s="67">
        <f ca="1">+J14/H14*100</f>
        <v>11.111111111111111</v>
      </c>
      <c r="L14" s="67">
        <f t="shared" ca="1" si="1"/>
        <v>88.888888888888886</v>
      </c>
      <c r="M14" s="255" t="s">
        <v>969</v>
      </c>
      <c r="O14" s="9"/>
    </row>
    <row r="15" spans="1:15" ht="97.5" customHeight="1" x14ac:dyDescent="0.25">
      <c r="A15" s="162">
        <v>38001</v>
      </c>
      <c r="B15" s="163">
        <v>150900</v>
      </c>
      <c r="C15" s="722"/>
      <c r="D15" s="135" t="s">
        <v>931</v>
      </c>
      <c r="E15" s="42" t="s">
        <v>174</v>
      </c>
      <c r="F15" s="47">
        <f>BCS_Calendario!F19</f>
        <v>4176000</v>
      </c>
      <c r="G15" s="48">
        <f>696000/2</f>
        <v>348000</v>
      </c>
      <c r="H15" s="628">
        <f ca="1">BCS_Calendario!T19</f>
        <v>3132000</v>
      </c>
      <c r="I15" s="628">
        <f>BCS_Calendario!T20</f>
        <v>2783998.56</v>
      </c>
      <c r="J15" s="73">
        <f t="shared" ca="1" si="0"/>
        <v>348001.43999999994</v>
      </c>
      <c r="K15" s="67">
        <f ca="1">+J15/H15*100</f>
        <v>11.111157088122603</v>
      </c>
      <c r="L15" s="67">
        <f t="shared" ca="1" si="1"/>
        <v>88.88884291187739</v>
      </c>
      <c r="M15" s="255" t="s">
        <v>969</v>
      </c>
      <c r="O15" s="9"/>
    </row>
    <row r="16" spans="1:15" ht="88.5" customHeight="1" thickBot="1" x14ac:dyDescent="0.3">
      <c r="A16" s="158">
        <v>38002</v>
      </c>
      <c r="B16" s="159">
        <v>920201</v>
      </c>
      <c r="C16" s="722"/>
      <c r="D16" s="143" t="s">
        <v>175</v>
      </c>
      <c r="E16" s="207" t="s">
        <v>176</v>
      </c>
      <c r="F16" s="47">
        <f>BCS_Calendario!F21</f>
        <v>596638.80000000005</v>
      </c>
      <c r="G16" s="723">
        <v>49719.4</v>
      </c>
      <c r="H16" s="628">
        <f ca="1">BCS_Calendario!T21</f>
        <v>447480</v>
      </c>
      <c r="I16" s="628">
        <f>BCS_Calendario!T22</f>
        <v>447473.34</v>
      </c>
      <c r="J16" s="73">
        <f t="shared" ca="1" si="0"/>
        <v>6.6599999999743886</v>
      </c>
      <c r="K16" s="68">
        <f ca="1">+J16/H16*100</f>
        <v>1.4883346741696587E-3</v>
      </c>
      <c r="L16" s="68">
        <f t="shared" ca="1" si="1"/>
        <v>99.998511665325822</v>
      </c>
      <c r="M16" s="255" t="s">
        <v>969</v>
      </c>
      <c r="O16" s="9"/>
    </row>
    <row r="17" spans="1:13" ht="15.75" thickBot="1" x14ac:dyDescent="0.3">
      <c r="A17" s="4"/>
      <c r="B17" s="40">
        <v>5</v>
      </c>
      <c r="C17" s="724">
        <f>COUNT(C13:C16)</f>
        <v>0</v>
      </c>
      <c r="D17" s="7"/>
      <c r="E17" s="6"/>
      <c r="F17" s="32">
        <f>SUM(F12:F16)</f>
        <v>5760825.5999999996</v>
      </c>
      <c r="G17" s="32">
        <f>SUM(G12:G16)</f>
        <v>480068.12</v>
      </c>
      <c r="H17" s="215">
        <f ca="1">SUM(H12:H16)</f>
        <v>4320621</v>
      </c>
      <c r="I17" s="215">
        <f>SUM(I12:I16)</f>
        <v>3933484.26</v>
      </c>
      <c r="J17" s="73">
        <f t="shared" ca="1" si="0"/>
        <v>387136.74000000022</v>
      </c>
      <c r="K17" s="32">
        <f ca="1">SUM(K12:K16)</f>
        <v>33.337200070966432</v>
      </c>
      <c r="L17" s="215">
        <f t="shared" ca="1" si="1"/>
        <v>91.039789419159874</v>
      </c>
      <c r="M17" s="5"/>
    </row>
    <row r="18" spans="1:13" ht="3.75" customHeight="1" x14ac:dyDescent="0.25">
      <c r="F18" s="9"/>
      <c r="H18" s="2"/>
      <c r="I18" s="2"/>
      <c r="J18" s="2"/>
      <c r="K18" s="2"/>
      <c r="L18" s="2"/>
      <c r="M18" s="70"/>
    </row>
    <row r="19" spans="1:13" ht="31.5" customHeight="1" x14ac:dyDescent="0.25">
      <c r="F19" s="9"/>
      <c r="G19" s="9"/>
      <c r="H19" s="9"/>
      <c r="I19" s="9"/>
      <c r="J19" s="9"/>
    </row>
  </sheetData>
  <mergeCells count="12">
    <mergeCell ref="L10:L11"/>
    <mergeCell ref="M10:M11"/>
    <mergeCell ref="D7:M7"/>
    <mergeCell ref="E8:L8"/>
    <mergeCell ref="A10:B10"/>
    <mergeCell ref="C10:C11"/>
    <mergeCell ref="D10:D11"/>
    <mergeCell ref="E10:E11"/>
    <mergeCell ref="F10:F11"/>
    <mergeCell ref="G10:G11"/>
    <mergeCell ref="H10:I10"/>
    <mergeCell ref="J10:K10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0" fitToHeight="2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view="pageBreakPreview" topLeftCell="A5" zoomScale="70" zoomScaleNormal="100" zoomScaleSheetLayoutView="70" zoomScalePageLayoutView="80" workbookViewId="0">
      <pane xSplit="7" ySplit="8" topLeftCell="L21" activePane="bottomRight" state="frozen"/>
      <selection activeCell="A9" sqref="A9:XFD9"/>
      <selection pane="topRight" activeCell="A9" sqref="A9:XFD9"/>
      <selection pane="bottomLeft" activeCell="A9" sqref="A9:XFD9"/>
      <selection pane="bottomRight" activeCell="N42" sqref="N42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19.7109375" style="1" customWidth="1"/>
    <col min="6" max="6" width="20.7109375" customWidth="1"/>
    <col min="7" max="7" width="11.28515625" customWidth="1"/>
    <col min="8" max="8" width="18.42578125" customWidth="1"/>
    <col min="9" max="9" width="17.42578125" customWidth="1"/>
    <col min="10" max="10" width="19.5703125" customWidth="1"/>
    <col min="11" max="11" width="16.85546875" customWidth="1"/>
    <col min="12" max="12" width="17.42578125" customWidth="1"/>
    <col min="13" max="13" width="17.28515625" bestFit="1" customWidth="1"/>
    <col min="14" max="14" width="17" customWidth="1"/>
    <col min="15" max="16" width="17.28515625" customWidth="1"/>
    <col min="17" max="17" width="20.28515625" customWidth="1"/>
    <col min="18" max="18" width="20" customWidth="1"/>
    <col min="19" max="19" width="17.28515625" customWidth="1"/>
    <col min="20" max="20" width="20.425781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  <c r="T5" s="3"/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52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165</v>
      </c>
      <c r="E8" s="878" t="s">
        <v>166</v>
      </c>
      <c r="F8" s="878"/>
      <c r="G8" s="878"/>
      <c r="H8" s="878"/>
      <c r="I8" s="878"/>
      <c r="J8" s="878"/>
      <c r="K8" s="878"/>
      <c r="L8" s="878"/>
      <c r="M8" s="878"/>
      <c r="N8" s="878"/>
      <c r="O8" s="878"/>
      <c r="P8" s="878"/>
      <c r="Q8" s="878"/>
      <c r="R8" s="878"/>
      <c r="S8" s="878"/>
      <c r="T8" s="878"/>
      <c r="U8" s="9"/>
    </row>
    <row r="9" spans="1:21" ht="18.75" thickBot="1" x14ac:dyDescent="0.3">
      <c r="D9" s="39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9"/>
    </row>
    <row r="10" spans="1:21" ht="18" hidden="1" customHeight="1" thickBot="1" x14ac:dyDescent="0.3">
      <c r="D10" s="10"/>
      <c r="H10" s="3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 s="3">
        <f>+T16+T20</f>
        <v>3013449.7600000002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80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167</v>
      </c>
      <c r="R11" s="877" t="s">
        <v>49</v>
      </c>
      <c r="S11" s="877" t="s">
        <v>50</v>
      </c>
      <c r="T11" s="153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66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153"/>
      <c r="U12" s="877"/>
    </row>
    <row r="13" spans="1:21" ht="83.25" customHeight="1" thickTop="1" thickBot="1" x14ac:dyDescent="0.3">
      <c r="A13" s="154">
        <v>200100</v>
      </c>
      <c r="B13" s="716">
        <v>39001</v>
      </c>
      <c r="C13" s="155"/>
      <c r="D13" s="873" t="s">
        <v>168</v>
      </c>
      <c r="E13" s="874" t="s">
        <v>169</v>
      </c>
      <c r="F13" s="875">
        <f>SUM(H13:S13)</f>
        <v>518724</v>
      </c>
      <c r="G13" s="157" t="s">
        <v>52</v>
      </c>
      <c r="H13" s="47"/>
      <c r="I13" s="183">
        <f t="shared" ref="I13:S13" si="0">VLOOKUP($A13&amp;$B13&amp;I$10,Base,8,FALSE)</f>
        <v>43226.79</v>
      </c>
      <c r="J13" s="183">
        <f t="shared" si="0"/>
        <v>43226.79</v>
      </c>
      <c r="K13" s="183">
        <f t="shared" si="0"/>
        <v>43226.79</v>
      </c>
      <c r="L13" s="183">
        <f t="shared" si="0"/>
        <v>43226.84</v>
      </c>
      <c r="M13" s="183">
        <f t="shared" si="0"/>
        <v>43226.79</v>
      </c>
      <c r="N13" s="183">
        <f t="shared" si="0"/>
        <v>43226.79</v>
      </c>
      <c r="O13" s="183">
        <f t="shared" si="0"/>
        <v>43226.79</v>
      </c>
      <c r="P13" s="183">
        <f t="shared" si="0"/>
        <v>43226.79</v>
      </c>
      <c r="Q13" s="183">
        <f t="shared" si="0"/>
        <v>43228.63</v>
      </c>
      <c r="R13" s="183">
        <f t="shared" si="0"/>
        <v>43227</v>
      </c>
      <c r="S13" s="183">
        <f t="shared" si="0"/>
        <v>86454</v>
      </c>
      <c r="T13" s="47">
        <f ca="1">SUM($H13:(OFFSET($H13,0,AVANCE060826!$T$2)))</f>
        <v>389043</v>
      </c>
      <c r="U13" s="876"/>
    </row>
    <row r="14" spans="1:21" ht="83.25" customHeight="1" thickTop="1" x14ac:dyDescent="0.25">
      <c r="A14" s="154">
        <v>200100</v>
      </c>
      <c r="B14" s="716">
        <v>39001</v>
      </c>
      <c r="C14" s="155"/>
      <c r="D14" s="873"/>
      <c r="E14" s="874"/>
      <c r="F14" s="875"/>
      <c r="G14" s="157" t="s">
        <v>53</v>
      </c>
      <c r="H14" s="47"/>
      <c r="I14" s="47">
        <f t="shared" ref="I14:S14" si="1">VLOOKUP($A14&amp;$B14&amp;I$10,Base,9,FALSE)</f>
        <v>43226.79</v>
      </c>
      <c r="J14" s="47">
        <f t="shared" si="1"/>
        <v>43226.79</v>
      </c>
      <c r="K14" s="47">
        <f t="shared" si="1"/>
        <v>43226.79</v>
      </c>
      <c r="L14" s="47">
        <f t="shared" si="1"/>
        <v>43226.84</v>
      </c>
      <c r="M14" s="47">
        <f t="shared" si="1"/>
        <v>43226.79</v>
      </c>
      <c r="N14" s="47">
        <f t="shared" si="1"/>
        <v>43226.79</v>
      </c>
      <c r="O14" s="47">
        <f t="shared" si="1"/>
        <v>43226.79</v>
      </c>
      <c r="P14" s="47">
        <f t="shared" si="1"/>
        <v>43226.79</v>
      </c>
      <c r="Q14" s="47">
        <f t="shared" si="1"/>
        <v>43226.79</v>
      </c>
      <c r="R14" s="47">
        <f t="shared" si="1"/>
        <v>0</v>
      </c>
      <c r="S14" s="47">
        <f t="shared" si="1"/>
        <v>0</v>
      </c>
      <c r="T14" s="47">
        <f t="shared" ref="T14:T20" si="2">SUM(H14:S14)</f>
        <v>389041.16</v>
      </c>
      <c r="U14" s="876"/>
    </row>
    <row r="15" spans="1:21" ht="78" customHeight="1" x14ac:dyDescent="0.25">
      <c r="A15" s="159">
        <v>900110</v>
      </c>
      <c r="B15" s="158">
        <v>39102</v>
      </c>
      <c r="C15" s="155"/>
      <c r="D15" s="873" t="s">
        <v>170</v>
      </c>
      <c r="E15" s="874" t="s">
        <v>171</v>
      </c>
      <c r="F15" s="875">
        <f>SUM(H15:S15)</f>
        <v>344182.8</v>
      </c>
      <c r="G15" s="157" t="s">
        <v>52</v>
      </c>
      <c r="H15" s="47"/>
      <c r="I15" s="183">
        <f t="shared" ref="I15:S15" si="3">VLOOKUP($A15&amp;$B15&amp;I$10,Base,8,FALSE)</f>
        <v>0</v>
      </c>
      <c r="J15" s="183">
        <f t="shared" si="3"/>
        <v>57362.8</v>
      </c>
      <c r="K15" s="183">
        <f t="shared" si="3"/>
        <v>28681.4</v>
      </c>
      <c r="L15" s="183">
        <f t="shared" si="3"/>
        <v>28681.4</v>
      </c>
      <c r="M15" s="183">
        <f t="shared" si="3"/>
        <v>28681.4</v>
      </c>
      <c r="N15" s="183">
        <f t="shared" si="3"/>
        <v>28681.4</v>
      </c>
      <c r="O15" s="183">
        <f t="shared" si="3"/>
        <v>28681.4</v>
      </c>
      <c r="P15" s="183">
        <f t="shared" si="3"/>
        <v>28681.4</v>
      </c>
      <c r="Q15" s="183">
        <f t="shared" si="3"/>
        <v>28686.799999999999</v>
      </c>
      <c r="R15" s="183">
        <f t="shared" si="3"/>
        <v>28682</v>
      </c>
      <c r="S15" s="183">
        <f t="shared" si="3"/>
        <v>57362.8</v>
      </c>
      <c r="T15" s="47">
        <f ca="1">SUM($H15:(OFFSET($H15,0,AVANCE060826!$T$2)))</f>
        <v>258137.99999999997</v>
      </c>
      <c r="U15" s="876"/>
    </row>
    <row r="16" spans="1:21" ht="78" customHeight="1" x14ac:dyDescent="0.25">
      <c r="A16" s="159">
        <v>900110</v>
      </c>
      <c r="B16" s="158">
        <v>39102</v>
      </c>
      <c r="C16" s="155"/>
      <c r="D16" s="873"/>
      <c r="E16" s="874"/>
      <c r="F16" s="875"/>
      <c r="G16" s="157" t="s">
        <v>53</v>
      </c>
      <c r="H16" s="47"/>
      <c r="I16" s="47">
        <f t="shared" ref="I16:S16" si="4">VLOOKUP($A16&amp;$B16&amp;I$10,Base,9,FALSE)</f>
        <v>0</v>
      </c>
      <c r="J16" s="47">
        <f t="shared" si="4"/>
        <v>57362.8</v>
      </c>
      <c r="K16" s="47">
        <f t="shared" si="4"/>
        <v>28681.4</v>
      </c>
      <c r="L16" s="47">
        <f t="shared" si="4"/>
        <v>28681.4</v>
      </c>
      <c r="M16" s="47">
        <f t="shared" si="4"/>
        <v>28681.4</v>
      </c>
      <c r="N16" s="47">
        <f t="shared" si="4"/>
        <v>28681.4</v>
      </c>
      <c r="O16" s="47">
        <f t="shared" si="4"/>
        <v>28681.4</v>
      </c>
      <c r="P16" s="47">
        <f t="shared" si="4"/>
        <v>28681.4</v>
      </c>
      <c r="Q16" s="47">
        <f t="shared" si="4"/>
        <v>0</v>
      </c>
      <c r="R16" s="47">
        <f t="shared" si="4"/>
        <v>0</v>
      </c>
      <c r="S16" s="47">
        <f t="shared" si="4"/>
        <v>0</v>
      </c>
      <c r="T16" s="47">
        <f t="shared" si="2"/>
        <v>229451.19999999998</v>
      </c>
      <c r="U16" s="876"/>
    </row>
    <row r="17" spans="1:21" ht="105.75" customHeight="1" x14ac:dyDescent="0.25">
      <c r="A17" s="163">
        <v>900110</v>
      </c>
      <c r="B17" s="162">
        <v>39103</v>
      </c>
      <c r="C17" s="164"/>
      <c r="D17" s="889" t="s">
        <v>172</v>
      </c>
      <c r="E17" s="890" t="s">
        <v>171</v>
      </c>
      <c r="F17" s="875">
        <f>SUM(H17:S17)</f>
        <v>125280</v>
      </c>
      <c r="G17" s="157" t="s">
        <v>52</v>
      </c>
      <c r="H17" s="47"/>
      <c r="I17" s="183">
        <f t="shared" ref="I17:S17" si="5">VLOOKUP($A17&amp;$B17&amp;I$10,Base,8,FALSE)</f>
        <v>10440</v>
      </c>
      <c r="J17" s="183">
        <f t="shared" si="5"/>
        <v>10440</v>
      </c>
      <c r="K17" s="183">
        <f t="shared" si="5"/>
        <v>10440</v>
      </c>
      <c r="L17" s="183">
        <f t="shared" si="5"/>
        <v>10440</v>
      </c>
      <c r="M17" s="183">
        <f t="shared" si="5"/>
        <v>10440</v>
      </c>
      <c r="N17" s="183">
        <f t="shared" si="5"/>
        <v>10440</v>
      </c>
      <c r="O17" s="183">
        <f t="shared" si="5"/>
        <v>10440</v>
      </c>
      <c r="P17" s="183">
        <f t="shared" si="5"/>
        <v>10440</v>
      </c>
      <c r="Q17" s="183">
        <f t="shared" si="5"/>
        <v>10440</v>
      </c>
      <c r="R17" s="183">
        <f t="shared" si="5"/>
        <v>10440</v>
      </c>
      <c r="S17" s="183">
        <f t="shared" si="5"/>
        <v>20880</v>
      </c>
      <c r="T17" s="47">
        <f ca="1">SUM($H17:(OFFSET($H17,0,AVANCE060826!$T$2)))</f>
        <v>93960</v>
      </c>
      <c r="U17" s="876"/>
    </row>
    <row r="18" spans="1:21" ht="105.75" customHeight="1" x14ac:dyDescent="0.25">
      <c r="A18" s="163">
        <v>900110</v>
      </c>
      <c r="B18" s="162">
        <v>39103</v>
      </c>
      <c r="C18" s="169"/>
      <c r="D18" s="889"/>
      <c r="E18" s="890"/>
      <c r="F18" s="875"/>
      <c r="G18" s="157" t="s">
        <v>53</v>
      </c>
      <c r="H18" s="47"/>
      <c r="I18" s="47">
        <f t="shared" ref="I18:S18" si="6">VLOOKUP($A18&amp;$B18&amp;I$10,Base,9,FALSE)</f>
        <v>10440</v>
      </c>
      <c r="J18" s="47">
        <f t="shared" si="6"/>
        <v>10440</v>
      </c>
      <c r="K18" s="47">
        <f t="shared" si="6"/>
        <v>10440</v>
      </c>
      <c r="L18" s="47">
        <f t="shared" si="6"/>
        <v>10440</v>
      </c>
      <c r="M18" s="47">
        <f t="shared" si="6"/>
        <v>10440</v>
      </c>
      <c r="N18" s="47">
        <f t="shared" si="6"/>
        <v>10440</v>
      </c>
      <c r="O18" s="47">
        <f t="shared" si="6"/>
        <v>10440</v>
      </c>
      <c r="P18" s="47">
        <f t="shared" si="6"/>
        <v>10440</v>
      </c>
      <c r="Q18" s="47">
        <f t="shared" si="6"/>
        <v>0</v>
      </c>
      <c r="R18" s="47">
        <f t="shared" si="6"/>
        <v>0</v>
      </c>
      <c r="S18" s="47">
        <f t="shared" si="6"/>
        <v>0</v>
      </c>
      <c r="T18" s="47">
        <f t="shared" si="2"/>
        <v>83520</v>
      </c>
      <c r="U18" s="876"/>
    </row>
    <row r="19" spans="1:21" ht="105.75" customHeight="1" x14ac:dyDescent="0.25">
      <c r="A19" s="168">
        <v>150900</v>
      </c>
      <c r="B19" s="167">
        <v>38001</v>
      </c>
      <c r="C19" s="169"/>
      <c r="D19" s="885" t="s">
        <v>173</v>
      </c>
      <c r="E19" s="887" t="s">
        <v>174</v>
      </c>
      <c r="F19" s="875">
        <f>SUM(H19:S19)</f>
        <v>4176000</v>
      </c>
      <c r="G19" s="157" t="s">
        <v>52</v>
      </c>
      <c r="H19" s="47"/>
      <c r="I19" s="183">
        <f t="shared" ref="I19:S19" si="7">VLOOKUP($A19&amp;$B19&amp;I$10,Base,8,FALSE)</f>
        <v>347999.82</v>
      </c>
      <c r="J19" s="183">
        <f t="shared" si="7"/>
        <v>347999.82</v>
      </c>
      <c r="K19" s="183">
        <f t="shared" si="7"/>
        <v>347999.82</v>
      </c>
      <c r="L19" s="183">
        <f t="shared" si="7"/>
        <v>347999.82</v>
      </c>
      <c r="M19" s="183">
        <f t="shared" si="7"/>
        <v>347999.82</v>
      </c>
      <c r="N19" s="183">
        <f t="shared" si="7"/>
        <v>347999.82</v>
      </c>
      <c r="O19" s="183">
        <f t="shared" si="7"/>
        <v>347999.82</v>
      </c>
      <c r="P19" s="183">
        <f t="shared" si="7"/>
        <v>347999.82</v>
      </c>
      <c r="Q19" s="183">
        <f t="shared" si="7"/>
        <v>348001.44</v>
      </c>
      <c r="R19" s="183">
        <f t="shared" si="7"/>
        <v>348000</v>
      </c>
      <c r="S19" s="183">
        <f t="shared" si="7"/>
        <v>696000</v>
      </c>
      <c r="T19" s="47">
        <f ca="1">SUM($H19:(OFFSET($H19,0,AVANCE060826!$T$2)))</f>
        <v>3132000</v>
      </c>
      <c r="U19" s="170"/>
    </row>
    <row r="20" spans="1:21" s="720" customFormat="1" ht="105.75" customHeight="1" x14ac:dyDescent="0.25">
      <c r="A20" s="168">
        <v>150900</v>
      </c>
      <c r="B20" s="167">
        <v>38001</v>
      </c>
      <c r="C20" s="169"/>
      <c r="D20" s="886"/>
      <c r="E20" s="888"/>
      <c r="F20" s="875"/>
      <c r="G20" s="717" t="s">
        <v>53</v>
      </c>
      <c r="H20" s="718"/>
      <c r="I20" s="718">
        <f t="shared" ref="I20:S20" si="8">VLOOKUP($A20&amp;$B20&amp;I$10,Base,9,FALSE)</f>
        <v>347999.82</v>
      </c>
      <c r="J20" s="718">
        <f t="shared" si="8"/>
        <v>347999.82</v>
      </c>
      <c r="K20" s="718">
        <f t="shared" si="8"/>
        <v>347999.82</v>
      </c>
      <c r="L20" s="718">
        <f t="shared" si="8"/>
        <v>347999.82</v>
      </c>
      <c r="M20" s="718">
        <f t="shared" si="8"/>
        <v>347999.82</v>
      </c>
      <c r="N20" s="718">
        <f t="shared" si="8"/>
        <v>347999.82</v>
      </c>
      <c r="O20" s="718">
        <f t="shared" si="8"/>
        <v>347999.82</v>
      </c>
      <c r="P20" s="718">
        <f t="shared" si="8"/>
        <v>347999.82</v>
      </c>
      <c r="Q20" s="718">
        <f t="shared" si="8"/>
        <v>0</v>
      </c>
      <c r="R20" s="718">
        <f t="shared" si="8"/>
        <v>0</v>
      </c>
      <c r="S20" s="718">
        <f t="shared" si="8"/>
        <v>0</v>
      </c>
      <c r="T20" s="718">
        <f t="shared" si="2"/>
        <v>2783998.56</v>
      </c>
      <c r="U20" s="719"/>
    </row>
    <row r="21" spans="1:21" ht="88.5" customHeight="1" x14ac:dyDescent="0.25">
      <c r="A21" s="172">
        <v>920201</v>
      </c>
      <c r="B21" s="171">
        <v>38002</v>
      </c>
      <c r="C21" s="173"/>
      <c r="D21" s="873" t="s">
        <v>175</v>
      </c>
      <c r="E21" s="874" t="s">
        <v>176</v>
      </c>
      <c r="F21" s="875">
        <f>SUM(H21:S21)</f>
        <v>596638.80000000005</v>
      </c>
      <c r="G21" s="157" t="s">
        <v>52</v>
      </c>
      <c r="H21" s="47"/>
      <c r="I21" s="183">
        <f t="shared" ref="I21:S21" si="9">VLOOKUP($A21&amp;$B21&amp;I$10,Base,8,FALSE)</f>
        <v>49719.26</v>
      </c>
      <c r="J21" s="183">
        <f t="shared" si="9"/>
        <v>49719.26</v>
      </c>
      <c r="K21" s="183">
        <f t="shared" si="9"/>
        <v>49719.26</v>
      </c>
      <c r="L21" s="183">
        <f t="shared" si="9"/>
        <v>49719.26</v>
      </c>
      <c r="M21" s="183">
        <f t="shared" si="9"/>
        <v>49719.26</v>
      </c>
      <c r="N21" s="183">
        <f t="shared" si="9"/>
        <v>49719.26</v>
      </c>
      <c r="O21" s="183">
        <f t="shared" si="9"/>
        <v>49719.26</v>
      </c>
      <c r="P21" s="183">
        <f t="shared" si="9"/>
        <v>49719.26</v>
      </c>
      <c r="Q21" s="183">
        <f t="shared" si="9"/>
        <v>49725.919999999998</v>
      </c>
      <c r="R21" s="183">
        <f t="shared" si="9"/>
        <v>49720</v>
      </c>
      <c r="S21" s="183">
        <f t="shared" si="9"/>
        <v>99438.8</v>
      </c>
      <c r="T21" s="47">
        <f ca="1">SUM($H21:(OFFSET($H21,0,AVANCE060826!$T$2)))</f>
        <v>447480</v>
      </c>
      <c r="U21" s="876"/>
    </row>
    <row r="22" spans="1:21" ht="88.5" customHeight="1" x14ac:dyDescent="0.25">
      <c r="A22" s="172">
        <v>920201</v>
      </c>
      <c r="B22" s="171">
        <v>38002</v>
      </c>
      <c r="C22" s="40"/>
      <c r="D22" s="873"/>
      <c r="E22" s="874"/>
      <c r="F22" s="875"/>
      <c r="G22" s="157" t="s">
        <v>53</v>
      </c>
      <c r="H22" s="47"/>
      <c r="I22" s="47">
        <f t="shared" ref="I22:S22" si="10">VLOOKUP($A22&amp;$B22&amp;I$10,Base,9,FALSE)</f>
        <v>49719.26</v>
      </c>
      <c r="J22" s="47">
        <f t="shared" si="10"/>
        <v>49719.26</v>
      </c>
      <c r="K22" s="47">
        <f t="shared" si="10"/>
        <v>49719.26</v>
      </c>
      <c r="L22" s="47">
        <f t="shared" si="10"/>
        <v>49719.26</v>
      </c>
      <c r="M22" s="47">
        <f t="shared" si="10"/>
        <v>49719.26</v>
      </c>
      <c r="N22" s="47">
        <f t="shared" si="10"/>
        <v>49719.26</v>
      </c>
      <c r="O22" s="47">
        <f t="shared" si="10"/>
        <v>49719.26</v>
      </c>
      <c r="P22" s="47">
        <f t="shared" si="10"/>
        <v>49719.26</v>
      </c>
      <c r="Q22" s="47">
        <f t="shared" si="10"/>
        <v>49719.26</v>
      </c>
      <c r="R22" s="47">
        <f t="shared" si="10"/>
        <v>0</v>
      </c>
      <c r="S22" s="47">
        <f t="shared" si="10"/>
        <v>0</v>
      </c>
      <c r="T22" s="47">
        <f>SUM(H22:S22)</f>
        <v>447473.34</v>
      </c>
      <c r="U22" s="876"/>
    </row>
    <row r="23" spans="1:21" x14ac:dyDescent="0.25">
      <c r="A23" s="40">
        <v>5</v>
      </c>
      <c r="B23" s="4"/>
      <c r="C23" s="24">
        <f>COUNT(C15:C21)</f>
        <v>0</v>
      </c>
      <c r="D23" s="174"/>
      <c r="E23" s="175"/>
      <c r="F23" s="176">
        <f>SUM(F13:F21)</f>
        <v>5760825.5999999996</v>
      </c>
      <c r="G23" s="157" t="s">
        <v>52</v>
      </c>
      <c r="H23" s="176">
        <f>SUM(H21+H17+H15+H13+H19)</f>
        <v>0</v>
      </c>
      <c r="I23" s="176">
        <f t="shared" ref="I23:T24" si="11">SUM(I21+I17+I15+I13+I19)</f>
        <v>451385.87</v>
      </c>
      <c r="J23" s="176">
        <f t="shared" si="11"/>
        <v>508748.67000000004</v>
      </c>
      <c r="K23" s="176">
        <f t="shared" si="11"/>
        <v>480067.27</v>
      </c>
      <c r="L23" s="176">
        <f t="shared" si="11"/>
        <v>480067.32</v>
      </c>
      <c r="M23" s="176">
        <f t="shared" si="11"/>
        <v>480067.27</v>
      </c>
      <c r="N23" s="176">
        <f t="shared" si="11"/>
        <v>480067.27</v>
      </c>
      <c r="O23" s="176">
        <f t="shared" si="11"/>
        <v>480067.27</v>
      </c>
      <c r="P23" s="176">
        <f t="shared" si="11"/>
        <v>480067.27</v>
      </c>
      <c r="Q23" s="176">
        <f t="shared" si="11"/>
        <v>480082.79000000004</v>
      </c>
      <c r="R23" s="176">
        <f t="shared" si="11"/>
        <v>480069</v>
      </c>
      <c r="S23" s="176">
        <f t="shared" si="11"/>
        <v>960135.6</v>
      </c>
      <c r="T23" s="176">
        <f t="shared" ca="1" si="11"/>
        <v>4320621</v>
      </c>
      <c r="U23" s="177"/>
    </row>
    <row r="24" spans="1:21" ht="31.5" customHeight="1" x14ac:dyDescent="0.25">
      <c r="F24" s="178"/>
      <c r="G24" s="157" t="s">
        <v>53</v>
      </c>
      <c r="H24" s="176">
        <f>SUM(H22+H18+H16+H14+H20)</f>
        <v>0</v>
      </c>
      <c r="I24" s="176">
        <f t="shared" si="11"/>
        <v>451385.87</v>
      </c>
      <c r="J24" s="176">
        <f t="shared" si="11"/>
        <v>508748.67000000004</v>
      </c>
      <c r="K24" s="176">
        <f t="shared" si="11"/>
        <v>480067.27</v>
      </c>
      <c r="L24" s="176">
        <f t="shared" si="11"/>
        <v>480067.32</v>
      </c>
      <c r="M24" s="176">
        <f t="shared" si="11"/>
        <v>480067.27</v>
      </c>
      <c r="N24" s="176">
        <f t="shared" si="11"/>
        <v>480067.27</v>
      </c>
      <c r="O24" s="176">
        <f t="shared" si="11"/>
        <v>480067.27</v>
      </c>
      <c r="P24" s="176">
        <f t="shared" si="11"/>
        <v>480067.27</v>
      </c>
      <c r="Q24" s="176">
        <f t="shared" si="11"/>
        <v>92946.05</v>
      </c>
      <c r="R24" s="176">
        <f t="shared" si="11"/>
        <v>0</v>
      </c>
      <c r="S24" s="176">
        <f t="shared" si="11"/>
        <v>0</v>
      </c>
      <c r="T24" s="176">
        <f t="shared" si="11"/>
        <v>3933484.26</v>
      </c>
      <c r="U24" s="70"/>
    </row>
    <row r="25" spans="1:21" ht="31.5" customHeight="1" x14ac:dyDescent="0.25"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34" spans="1:2" ht="15.75" thickBot="1" x14ac:dyDescent="0.3">
      <c r="A34" s="25" t="s">
        <v>12</v>
      </c>
      <c r="B34" s="33" t="s">
        <v>13</v>
      </c>
    </row>
    <row r="35" spans="1:2" ht="16.5" thickTop="1" thickBot="1" x14ac:dyDescent="0.3">
      <c r="A35" s="154">
        <v>200100</v>
      </c>
      <c r="B35" s="716">
        <v>39001</v>
      </c>
    </row>
    <row r="36" spans="1:2" ht="15.75" thickTop="1" x14ac:dyDescent="0.25">
      <c r="A36" s="154">
        <v>900110</v>
      </c>
      <c r="B36" s="716">
        <v>39102</v>
      </c>
    </row>
    <row r="37" spans="1:2" x14ac:dyDescent="0.25">
      <c r="A37" s="163">
        <v>900110</v>
      </c>
      <c r="B37" s="162">
        <v>39103</v>
      </c>
    </row>
    <row r="38" spans="1:2" x14ac:dyDescent="0.25">
      <c r="A38" s="163">
        <v>150900</v>
      </c>
      <c r="B38" s="162">
        <v>38001</v>
      </c>
    </row>
    <row r="39" spans="1:2" x14ac:dyDescent="0.25">
      <c r="A39" s="159">
        <v>920201</v>
      </c>
      <c r="B39" s="158">
        <v>38002</v>
      </c>
    </row>
    <row r="44" spans="1:2" x14ac:dyDescent="0.25">
      <c r="A44" s="40">
        <v>5</v>
      </c>
      <c r="B44" s="4"/>
    </row>
  </sheetData>
  <mergeCells count="39">
    <mergeCell ref="D7:U7"/>
    <mergeCell ref="E8:T8"/>
    <mergeCell ref="C11:C12"/>
    <mergeCell ref="D11:D12"/>
    <mergeCell ref="E11:E12"/>
    <mergeCell ref="F11:F12"/>
    <mergeCell ref="G11:G12"/>
    <mergeCell ref="H11:H12"/>
    <mergeCell ref="I11:I12"/>
    <mergeCell ref="U11:U12"/>
    <mergeCell ref="J11:J12"/>
    <mergeCell ref="K11:K12"/>
    <mergeCell ref="L11:L12"/>
    <mergeCell ref="M11:M12"/>
    <mergeCell ref="N11:N12"/>
    <mergeCell ref="D13:D14"/>
    <mergeCell ref="E13:E14"/>
    <mergeCell ref="F13:F14"/>
    <mergeCell ref="U13:U14"/>
    <mergeCell ref="O11:O12"/>
    <mergeCell ref="P11:P12"/>
    <mergeCell ref="Q11:Q12"/>
    <mergeCell ref="R11:R12"/>
    <mergeCell ref="S11:S12"/>
    <mergeCell ref="D17:D18"/>
    <mergeCell ref="E17:E18"/>
    <mergeCell ref="F17:F18"/>
    <mergeCell ref="U17:U18"/>
    <mergeCell ref="D15:D16"/>
    <mergeCell ref="E15:E16"/>
    <mergeCell ref="F15:F16"/>
    <mergeCell ref="U15:U16"/>
    <mergeCell ref="D19:D20"/>
    <mergeCell ref="E19:E20"/>
    <mergeCell ref="F19:F20"/>
    <mergeCell ref="U21:U22"/>
    <mergeCell ref="D21:D22"/>
    <mergeCell ref="E21:E22"/>
    <mergeCell ref="F21:F2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3" fitToHeight="21" orientation="landscape" r:id="rId1"/>
  <ignoredErrors>
    <ignoredError sqref="T15:T21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showGridLines="0" topLeftCell="E1" zoomScaleNormal="100" zoomScaleSheetLayoutView="85" zoomScalePageLayoutView="80" workbookViewId="0">
      <selection activeCell="O12" sqref="O12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customWidth="1"/>
    <col min="10" max="10" width="13" customWidth="1"/>
    <col min="11" max="11" width="11.7109375" hidden="1" customWidth="1"/>
    <col min="12" max="12" width="10.28515625" hidden="1" customWidth="1"/>
    <col min="13" max="13" width="47.140625" customWidth="1"/>
    <col min="14" max="14" width="1.14062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123</v>
      </c>
      <c r="H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67"/>
    </row>
    <row r="12" spans="1:13" ht="117.75" customHeight="1" thickTop="1" thickBot="1" x14ac:dyDescent="0.3">
      <c r="A12" s="181" t="s">
        <v>177</v>
      </c>
      <c r="B12" s="181" t="s">
        <v>37</v>
      </c>
      <c r="C12" s="182" t="s">
        <v>178</v>
      </c>
      <c r="D12" s="143" t="s">
        <v>179</v>
      </c>
      <c r="E12" s="187" t="s">
        <v>180</v>
      </c>
      <c r="F12" s="188">
        <f>CAM_Calendario!F13</f>
        <v>160550</v>
      </c>
      <c r="G12" s="189">
        <v>13000</v>
      </c>
      <c r="H12" s="190">
        <f ca="1">CAM_Calendario!U13</f>
        <v>117000</v>
      </c>
      <c r="I12" s="69">
        <f>CAM_Calendario!U14</f>
        <v>104000</v>
      </c>
      <c r="J12" s="73">
        <f ca="1">H12-I12</f>
        <v>13000</v>
      </c>
      <c r="K12" s="82">
        <f ca="1">+J12/H12*100</f>
        <v>11.111111111111111</v>
      </c>
      <c r="L12" s="83">
        <f ca="1">+I12/H12*100</f>
        <v>88.888888888888886</v>
      </c>
      <c r="M12" s="191" t="s">
        <v>988</v>
      </c>
    </row>
    <row r="13" spans="1:13" ht="15.75" thickBot="1" x14ac:dyDescent="0.3">
      <c r="A13" s="4"/>
      <c r="B13" s="40">
        <v>1</v>
      </c>
      <c r="C13" s="24">
        <f>COUNT(#REF!)</f>
        <v>0</v>
      </c>
      <c r="D13" s="7"/>
      <c r="E13" s="6"/>
      <c r="F13" s="32">
        <f>SUM(F12:F12)</f>
        <v>160550</v>
      </c>
      <c r="G13" s="32">
        <f>SUM(G12:G12)</f>
        <v>13000</v>
      </c>
      <c r="H13" s="32">
        <f ca="1">SUM(H12:H12)</f>
        <v>117000</v>
      </c>
      <c r="I13" s="32">
        <f>SUM(I12:I12)</f>
        <v>104000</v>
      </c>
      <c r="J13" s="73">
        <f ca="1">H13-I13</f>
        <v>13000</v>
      </c>
      <c r="K13" s="150">
        <f ca="1">+J13/H13*100</f>
        <v>11.111111111111111</v>
      </c>
      <c r="L13" s="151">
        <f ca="1">+I13/H13*100</f>
        <v>88.888888888888886</v>
      </c>
      <c r="M13" s="5"/>
    </row>
    <row r="14" spans="1:13" ht="31.5" customHeight="1" x14ac:dyDescent="0.25">
      <c r="F14" s="3"/>
      <c r="G14" s="3"/>
      <c r="H14" s="2"/>
      <c r="I14" s="2"/>
      <c r="J14" s="2"/>
      <c r="K14" s="2"/>
      <c r="L14" s="2"/>
      <c r="M14" s="857"/>
    </row>
    <row r="15" spans="1:13" ht="31.5" customHeight="1" x14ac:dyDescent="0.25">
      <c r="H15" s="2"/>
      <c r="I15" s="2"/>
      <c r="J15" s="2"/>
      <c r="K15" s="2"/>
      <c r="L15" s="2"/>
      <c r="M15" s="857"/>
    </row>
    <row r="16" spans="1:13" ht="31.5" customHeight="1" x14ac:dyDescent="0.25"/>
  </sheetData>
  <mergeCells count="12">
    <mergeCell ref="M10:M11"/>
    <mergeCell ref="M14:M15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4" fitToHeight="2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topLeftCell="C1" zoomScaleNormal="100" zoomScaleSheetLayoutView="85" zoomScalePageLayoutView="80" workbookViewId="0">
      <selection activeCell="U18" sqref="U18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20" width="15" customWidth="1"/>
    <col min="21" max="21" width="19.140625" customWidth="1"/>
    <col min="22" max="22" width="47.140625" customWidth="1"/>
    <col min="23" max="23" width="5" customWidth="1"/>
    <col min="24" max="24" width="28" customWidth="1"/>
    <col min="25" max="16374" width="11.42578125" customWidth="1"/>
  </cols>
  <sheetData>
    <row r="1" spans="1:22" ht="18" x14ac:dyDescent="0.25">
      <c r="F1" s="10" t="s">
        <v>25</v>
      </c>
      <c r="V1" s="11"/>
    </row>
    <row r="2" spans="1:22" ht="18" x14ac:dyDescent="0.25">
      <c r="F2" s="10" t="s">
        <v>24</v>
      </c>
    </row>
    <row r="3" spans="1:22" ht="18" x14ac:dyDescent="0.25">
      <c r="F3" s="10" t="s">
        <v>23</v>
      </c>
    </row>
    <row r="4" spans="1:22" ht="18" x14ac:dyDescent="0.25">
      <c r="F4" s="10" t="s">
        <v>22</v>
      </c>
    </row>
    <row r="5" spans="1:22" ht="18" x14ac:dyDescent="0.25">
      <c r="F5" s="10" t="s">
        <v>21</v>
      </c>
    </row>
    <row r="6" spans="1:22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  <c r="V6" s="17"/>
    </row>
    <row r="7" spans="1:22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  <c r="V7" s="826"/>
    </row>
    <row r="8" spans="1:22" ht="18" x14ac:dyDescent="0.25">
      <c r="D8" s="39" t="s">
        <v>31</v>
      </c>
      <c r="E8" s="10" t="s">
        <v>123</v>
      </c>
      <c r="U8" s="9"/>
    </row>
    <row r="9" spans="1:22" ht="18.75" thickBot="1" x14ac:dyDescent="0.3">
      <c r="D9" s="39"/>
      <c r="E9" s="10"/>
      <c r="U9" s="9"/>
    </row>
    <row r="10" spans="1:22" ht="15.75" hidden="1" thickBot="1" x14ac:dyDescent="0.3">
      <c r="J10" t="s">
        <v>64</v>
      </c>
      <c r="K10" t="s">
        <v>65</v>
      </c>
      <c r="L10" t="s">
        <v>66</v>
      </c>
      <c r="M10" t="s">
        <v>67</v>
      </c>
      <c r="N10" t="s">
        <v>68</v>
      </c>
      <c r="O10" t="s">
        <v>69</v>
      </c>
      <c r="P10" t="s">
        <v>70</v>
      </c>
      <c r="Q10" t="s">
        <v>71</v>
      </c>
      <c r="R10" t="s">
        <v>72</v>
      </c>
      <c r="S10" t="s">
        <v>73</v>
      </c>
      <c r="T10" t="s">
        <v>74</v>
      </c>
    </row>
    <row r="11" spans="1:22" ht="39.75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/>
      <c r="H11" s="877" t="s">
        <v>89</v>
      </c>
      <c r="I11" s="877" t="s">
        <v>39</v>
      </c>
      <c r="J11" s="877" t="s">
        <v>40</v>
      </c>
      <c r="K11" s="877" t="s">
        <v>41</v>
      </c>
      <c r="L11" s="877" t="s">
        <v>42</v>
      </c>
      <c r="M11" s="877" t="s">
        <v>43</v>
      </c>
      <c r="N11" s="877" t="s">
        <v>44</v>
      </c>
      <c r="O11" s="877" t="s">
        <v>45</v>
      </c>
      <c r="P11" s="877" t="s">
        <v>46</v>
      </c>
      <c r="Q11" s="877" t="s">
        <v>47</v>
      </c>
      <c r="R11" s="877" t="s">
        <v>167</v>
      </c>
      <c r="S11" s="877" t="s">
        <v>49</v>
      </c>
      <c r="T11" s="877" t="s">
        <v>50</v>
      </c>
      <c r="U11" s="153" t="s">
        <v>90</v>
      </c>
      <c r="V11" s="877" t="s">
        <v>14</v>
      </c>
    </row>
    <row r="12" spans="1:22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77"/>
      <c r="U12" s="153" t="s">
        <v>91</v>
      </c>
      <c r="V12" s="877"/>
    </row>
    <row r="13" spans="1:22" ht="94.5" customHeight="1" thickTop="1" thickBot="1" x14ac:dyDescent="0.3">
      <c r="A13" s="181">
        <v>50100</v>
      </c>
      <c r="B13" s="181">
        <v>49001</v>
      </c>
      <c r="C13" s="182" t="s">
        <v>178</v>
      </c>
      <c r="D13" s="873" t="s">
        <v>179</v>
      </c>
      <c r="E13" s="873" t="s">
        <v>180</v>
      </c>
      <c r="F13" s="895">
        <f>SUM(I13:T13)</f>
        <v>160550</v>
      </c>
      <c r="G13" s="183" t="s">
        <v>181</v>
      </c>
      <c r="H13" s="183">
        <v>13000</v>
      </c>
      <c r="I13" s="183"/>
      <c r="J13" s="183">
        <f t="shared" ref="J13:T13" si="0">VLOOKUP($A13&amp;$B13&amp;J$10,Base,8,FALSE)</f>
        <v>0</v>
      </c>
      <c r="K13" s="183">
        <f t="shared" si="0"/>
        <v>26000</v>
      </c>
      <c r="L13" s="183">
        <f t="shared" si="0"/>
        <v>13000</v>
      </c>
      <c r="M13" s="183">
        <f t="shared" si="0"/>
        <v>13000</v>
      </c>
      <c r="N13" s="183">
        <f t="shared" si="0"/>
        <v>13000</v>
      </c>
      <c r="O13" s="183">
        <f t="shared" si="0"/>
        <v>13000</v>
      </c>
      <c r="P13" s="183">
        <f t="shared" si="0"/>
        <v>13000</v>
      </c>
      <c r="Q13" s="183">
        <f t="shared" si="0"/>
        <v>13000</v>
      </c>
      <c r="R13" s="183">
        <f t="shared" si="0"/>
        <v>14820</v>
      </c>
      <c r="S13" s="183">
        <f t="shared" si="0"/>
        <v>13910</v>
      </c>
      <c r="T13" s="183">
        <f t="shared" si="0"/>
        <v>27820</v>
      </c>
      <c r="U13" s="67">
        <f ca="1">SUM($H13:(OFFSET($H13,0,AVANCE060826!$T$2)))</f>
        <v>117000</v>
      </c>
      <c r="V13" s="894"/>
    </row>
    <row r="14" spans="1:22" ht="94.5" customHeight="1" thickTop="1" x14ac:dyDescent="0.25">
      <c r="A14" s="181">
        <v>50100</v>
      </c>
      <c r="B14" s="181">
        <v>49001</v>
      </c>
      <c r="C14" s="184"/>
      <c r="D14" s="873"/>
      <c r="E14" s="873"/>
      <c r="F14" s="895"/>
      <c r="G14" s="183" t="s">
        <v>53</v>
      </c>
      <c r="H14" s="183"/>
      <c r="I14" s="183"/>
      <c r="J14" s="47">
        <f t="shared" ref="J14:T14" si="1">VLOOKUP($A14&amp;$B14&amp;J$10,Base,9,FALSE)</f>
        <v>0</v>
      </c>
      <c r="K14" s="47">
        <f t="shared" si="1"/>
        <v>26000</v>
      </c>
      <c r="L14" s="47">
        <f t="shared" si="1"/>
        <v>13000</v>
      </c>
      <c r="M14" s="47">
        <f t="shared" si="1"/>
        <v>13000</v>
      </c>
      <c r="N14" s="47">
        <f t="shared" si="1"/>
        <v>13000</v>
      </c>
      <c r="O14" s="47">
        <f t="shared" si="1"/>
        <v>13000</v>
      </c>
      <c r="P14" s="47">
        <f t="shared" si="1"/>
        <v>13000</v>
      </c>
      <c r="Q14" s="183">
        <f t="shared" si="1"/>
        <v>13000</v>
      </c>
      <c r="R14" s="183">
        <f t="shared" si="1"/>
        <v>0</v>
      </c>
      <c r="S14" s="183">
        <f t="shared" si="1"/>
        <v>0</v>
      </c>
      <c r="T14" s="183">
        <f t="shared" si="1"/>
        <v>0</v>
      </c>
      <c r="U14" s="67">
        <f>SUM(I14:T14)</f>
        <v>104000</v>
      </c>
      <c r="V14" s="894"/>
    </row>
    <row r="15" spans="1:22" x14ac:dyDescent="0.25">
      <c r="A15" s="40">
        <v>1</v>
      </c>
      <c r="B15" s="4"/>
      <c r="C15" s="24">
        <f>COUNT(#REF!)</f>
        <v>0</v>
      </c>
      <c r="D15" s="7"/>
      <c r="E15" s="6"/>
      <c r="F15" s="176">
        <f>SUM(F13:F13)</f>
        <v>160550</v>
      </c>
      <c r="G15" s="183" t="s">
        <v>181</v>
      </c>
      <c r="H15" s="176">
        <f>SUM(H13:H13)</f>
        <v>13000</v>
      </c>
      <c r="I15" s="176">
        <f t="shared" ref="I15:T15" si="2">SUM(I13:I13)</f>
        <v>0</v>
      </c>
      <c r="J15" s="176">
        <f t="shared" si="2"/>
        <v>0</v>
      </c>
      <c r="K15" s="176">
        <f t="shared" si="2"/>
        <v>26000</v>
      </c>
      <c r="L15" s="176">
        <f t="shared" si="2"/>
        <v>13000</v>
      </c>
      <c r="M15" s="176">
        <f t="shared" si="2"/>
        <v>13000</v>
      </c>
      <c r="N15" s="176">
        <f t="shared" si="2"/>
        <v>13000</v>
      </c>
      <c r="O15" s="176">
        <f t="shared" si="2"/>
        <v>13000</v>
      </c>
      <c r="P15" s="176">
        <f t="shared" si="2"/>
        <v>13000</v>
      </c>
      <c r="Q15" s="176">
        <f t="shared" si="2"/>
        <v>13000</v>
      </c>
      <c r="R15" s="176">
        <f t="shared" si="2"/>
        <v>14820</v>
      </c>
      <c r="S15" s="176">
        <f t="shared" si="2"/>
        <v>13910</v>
      </c>
      <c r="T15" s="176">
        <f t="shared" si="2"/>
        <v>27820</v>
      </c>
      <c r="U15" s="67">
        <f>SUM(I15:T15)</f>
        <v>160550</v>
      </c>
      <c r="V15" s="5"/>
    </row>
    <row r="16" spans="1:22" ht="31.5" customHeight="1" x14ac:dyDescent="0.25">
      <c r="F16" s="186"/>
      <c r="G16" s="183" t="s">
        <v>53</v>
      </c>
      <c r="H16" s="186">
        <f>H14</f>
        <v>0</v>
      </c>
      <c r="I16" s="186">
        <f t="shared" ref="I16:T16" si="3">I14</f>
        <v>0</v>
      </c>
      <c r="J16" s="186">
        <f t="shared" si="3"/>
        <v>0</v>
      </c>
      <c r="K16" s="186">
        <f t="shared" si="3"/>
        <v>26000</v>
      </c>
      <c r="L16" s="186">
        <f t="shared" si="3"/>
        <v>13000</v>
      </c>
      <c r="M16" s="186">
        <f t="shared" si="3"/>
        <v>13000</v>
      </c>
      <c r="N16" s="186">
        <f t="shared" si="3"/>
        <v>13000</v>
      </c>
      <c r="O16" s="186">
        <f t="shared" si="3"/>
        <v>13000</v>
      </c>
      <c r="P16" s="186">
        <f t="shared" si="3"/>
        <v>13000</v>
      </c>
      <c r="Q16" s="186">
        <f t="shared" si="3"/>
        <v>13000</v>
      </c>
      <c r="R16" s="186">
        <f t="shared" si="3"/>
        <v>0</v>
      </c>
      <c r="S16" s="186">
        <f t="shared" si="3"/>
        <v>0</v>
      </c>
      <c r="T16" s="186">
        <f t="shared" si="3"/>
        <v>0</v>
      </c>
      <c r="U16" s="67">
        <f>SUM(I16:T16)</f>
        <v>104000</v>
      </c>
      <c r="V16" s="857"/>
    </row>
    <row r="17" spans="1:22" ht="31.5" customHeight="1" x14ac:dyDescent="0.25">
      <c r="A17" s="575">
        <v>140100</v>
      </c>
      <c r="B17" s="575">
        <v>49001</v>
      </c>
      <c r="E17" s="1" t="s">
        <v>961</v>
      </c>
      <c r="F17">
        <f>SUM(I17:T17)</f>
        <v>215399.99</v>
      </c>
      <c r="G17" s="183" t="s">
        <v>181</v>
      </c>
      <c r="J17" s="183"/>
      <c r="K17" s="183">
        <f t="shared" ref="K17:P17" si="4">VLOOKUP($A17&amp;$B17&amp;K$10,Base,8,FALSE)</f>
        <v>0</v>
      </c>
      <c r="L17" s="183">
        <f t="shared" si="4"/>
        <v>0</v>
      </c>
      <c r="M17" s="183">
        <f t="shared" si="4"/>
        <v>215399.99</v>
      </c>
      <c r="N17" s="183">
        <f t="shared" si="4"/>
        <v>0</v>
      </c>
      <c r="O17" s="183">
        <f t="shared" si="4"/>
        <v>0</v>
      </c>
      <c r="P17" s="183">
        <f t="shared" si="4"/>
        <v>0</v>
      </c>
      <c r="Q17" s="183"/>
      <c r="R17" s="183"/>
      <c r="S17" s="183"/>
      <c r="T17" s="183"/>
      <c r="U17" s="67">
        <f ca="1">SUM($H17:(OFFSET($H17,0,AVANCE060826!$T$2)))</f>
        <v>215399.99</v>
      </c>
      <c r="V17" s="857"/>
    </row>
    <row r="18" spans="1:22" ht="31.5" customHeight="1" x14ac:dyDescent="0.25">
      <c r="A18" s="575">
        <v>140100</v>
      </c>
      <c r="B18" s="575">
        <v>49001</v>
      </c>
      <c r="F18" s="9"/>
      <c r="G18" s="183" t="s">
        <v>53</v>
      </c>
      <c r="K18" s="47">
        <f t="shared" ref="K18:P18" si="5">VLOOKUP($A18&amp;$B18&amp;K$10,Base,9,FALSE)</f>
        <v>0</v>
      </c>
      <c r="L18" s="47">
        <f t="shared" si="5"/>
        <v>0</v>
      </c>
      <c r="M18" s="47">
        <f t="shared" si="5"/>
        <v>215399.99</v>
      </c>
      <c r="N18" s="47">
        <f t="shared" si="5"/>
        <v>0</v>
      </c>
      <c r="O18" s="47">
        <f t="shared" si="5"/>
        <v>0</v>
      </c>
      <c r="P18" s="47">
        <f t="shared" si="5"/>
        <v>0</v>
      </c>
      <c r="Q18" s="47"/>
      <c r="R18" s="47"/>
      <c r="S18" s="47"/>
      <c r="T18" s="47"/>
      <c r="U18" s="67">
        <f>SUM(I18:T18)</f>
        <v>215399.99</v>
      </c>
    </row>
    <row r="19" spans="1:22" x14ac:dyDescent="0.25">
      <c r="U19" s="9"/>
    </row>
  </sheetData>
  <mergeCells count="25">
    <mergeCell ref="C11:C12"/>
    <mergeCell ref="D11:D12"/>
    <mergeCell ref="E11:E12"/>
    <mergeCell ref="F11:F12"/>
    <mergeCell ref="G11:G12"/>
    <mergeCell ref="D13:D14"/>
    <mergeCell ref="E13:E14"/>
    <mergeCell ref="F13:F14"/>
    <mergeCell ref="P11:P12"/>
    <mergeCell ref="D7:V7"/>
    <mergeCell ref="H11:H12"/>
    <mergeCell ref="I11:I12"/>
    <mergeCell ref="J11:J12"/>
    <mergeCell ref="K11:K12"/>
    <mergeCell ref="L11:L12"/>
    <mergeCell ref="M11:M12"/>
    <mergeCell ref="N11:N12"/>
    <mergeCell ref="O11:O12"/>
    <mergeCell ref="Q11:Q12"/>
    <mergeCell ref="R11:R12"/>
    <mergeCell ref="V16:V17"/>
    <mergeCell ref="V11:V12"/>
    <mergeCell ref="V13:V14"/>
    <mergeCell ref="S11:S12"/>
    <mergeCell ref="T11:T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3" fitToHeight="21" orientation="landscape" r:id="rId1"/>
  <ignoredErrors>
    <ignoredError sqref="U15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topLeftCell="E1" zoomScaleNormal="100" zoomScaleSheetLayoutView="85" zoomScalePageLayoutView="80" workbookViewId="0">
      <selection activeCell="O12" sqref="O12:O20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4" customWidth="1"/>
    <col min="5" max="5" width="27.28515625" style="1" customWidth="1"/>
    <col min="6" max="7" width="15.85546875" customWidth="1"/>
    <col min="8" max="8" width="19.140625" customWidth="1"/>
    <col min="9" max="9" width="16.7109375" customWidth="1"/>
    <col min="10" max="10" width="14.5703125" customWidth="1"/>
    <col min="11" max="11" width="11.7109375" hidden="1" customWidth="1"/>
    <col min="12" max="12" width="10.28515625" hidden="1" customWidth="1"/>
    <col min="13" max="13" width="46.7109375" bestFit="1" customWidth="1"/>
    <col min="14" max="14" width="0.42578125" customWidth="1"/>
    <col min="15" max="15" width="28" customWidth="1"/>
    <col min="16" max="16365" width="11.42578125" customWidth="1"/>
  </cols>
  <sheetData>
    <row r="1" spans="1:18" ht="18" x14ac:dyDescent="0.25">
      <c r="D1" s="10" t="s">
        <v>25</v>
      </c>
      <c r="M1" s="11"/>
    </row>
    <row r="2" spans="1:18" ht="18" x14ac:dyDescent="0.25">
      <c r="D2" s="10" t="s">
        <v>24</v>
      </c>
    </row>
    <row r="3" spans="1:18" ht="18" x14ac:dyDescent="0.25">
      <c r="D3" s="10" t="s">
        <v>23</v>
      </c>
    </row>
    <row r="4" spans="1:18" ht="18" x14ac:dyDescent="0.25">
      <c r="D4" s="10" t="s">
        <v>22</v>
      </c>
      <c r="K4" s="9"/>
      <c r="L4" s="9"/>
    </row>
    <row r="5" spans="1:18" ht="18" x14ac:dyDescent="0.25">
      <c r="D5" s="10" t="s">
        <v>21</v>
      </c>
    </row>
    <row r="6" spans="1:18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8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8" ht="18" x14ac:dyDescent="0.25">
      <c r="D8" s="39" t="s">
        <v>182</v>
      </c>
      <c r="E8" s="10" t="s">
        <v>124</v>
      </c>
      <c r="F8" s="192"/>
      <c r="G8" s="192"/>
      <c r="H8" s="9"/>
      <c r="I8" s="9"/>
      <c r="L8" s="9">
        <f>I18/G18</f>
        <v>6.8965489640048405</v>
      </c>
    </row>
    <row r="9" spans="1:18" ht="3.75" customHeight="1" thickBot="1" x14ac:dyDescent="0.3">
      <c r="D9" s="10"/>
      <c r="I9" s="9"/>
    </row>
    <row r="10" spans="1:18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</row>
    <row r="11" spans="1:18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49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41"/>
    </row>
    <row r="12" spans="1:18" ht="52.5" customHeight="1" thickTop="1" x14ac:dyDescent="0.25">
      <c r="A12" s="132" t="s">
        <v>183</v>
      </c>
      <c r="B12" s="179">
        <v>200200</v>
      </c>
      <c r="C12" s="155" t="s">
        <v>184</v>
      </c>
      <c r="D12" s="135" t="s">
        <v>185</v>
      </c>
      <c r="E12" s="199" t="s">
        <v>186</v>
      </c>
      <c r="F12" s="29">
        <f>COAH_Calendario!F13</f>
        <v>2559336</v>
      </c>
      <c r="G12" s="44">
        <v>213278</v>
      </c>
      <c r="H12" s="31">
        <f ca="1">COAH_Calendario!T13</f>
        <v>1919502</v>
      </c>
      <c r="I12" s="200">
        <f>COAH_Calendario!T14</f>
        <v>1706219.97</v>
      </c>
      <c r="J12" s="73">
        <f t="shared" ref="J12:J18" ca="1" si="0">H12-I12</f>
        <v>213282.03000000003</v>
      </c>
      <c r="K12" s="201">
        <f t="shared" ref="K12:K18" ca="1" si="1">+J12/H12*100</f>
        <v>11.111321061400302</v>
      </c>
      <c r="L12" s="202">
        <f t="shared" ref="L12:L21" ca="1" si="2">+I12/H12*100</f>
        <v>88.888678938599696</v>
      </c>
      <c r="M12" s="203" t="s">
        <v>986</v>
      </c>
      <c r="O12" s="9"/>
    </row>
    <row r="13" spans="1:18" ht="57.75" customHeight="1" x14ac:dyDescent="0.25">
      <c r="A13" s="132" t="s">
        <v>187</v>
      </c>
      <c r="B13" s="179">
        <v>700100</v>
      </c>
      <c r="C13" s="155" t="s">
        <v>188</v>
      </c>
      <c r="D13" s="135" t="s">
        <v>189</v>
      </c>
      <c r="E13" s="199" t="s">
        <v>190</v>
      </c>
      <c r="F13" s="29">
        <f>COAH_Calendario!F15</f>
        <v>2623825</v>
      </c>
      <c r="G13" s="44">
        <v>163275</v>
      </c>
      <c r="H13" s="31">
        <f ca="1">COAH_Calendario!T15</f>
        <v>1967877</v>
      </c>
      <c r="I13" s="200">
        <f>COAH_Calendario!T16</f>
        <v>1306199.52</v>
      </c>
      <c r="J13" s="73">
        <f t="shared" ca="1" si="0"/>
        <v>661677.48</v>
      </c>
      <c r="K13" s="201">
        <f t="shared" ca="1" si="1"/>
        <v>33.623924666023328</v>
      </c>
      <c r="L13" s="202">
        <f t="shared" ca="1" si="2"/>
        <v>66.376075333976672</v>
      </c>
      <c r="M13" s="203" t="s">
        <v>963</v>
      </c>
      <c r="O13" s="9"/>
    </row>
    <row r="14" spans="1:18" ht="63.75" customHeight="1" x14ac:dyDescent="0.25">
      <c r="A14" s="132" t="s">
        <v>191</v>
      </c>
      <c r="B14" s="179">
        <v>900110</v>
      </c>
      <c r="C14" s="155" t="s">
        <v>184</v>
      </c>
      <c r="D14" s="135" t="s">
        <v>192</v>
      </c>
      <c r="E14" s="199" t="s">
        <v>190</v>
      </c>
      <c r="F14" s="29">
        <f>COAH_Calendario!F17</f>
        <v>5055600</v>
      </c>
      <c r="G14" s="44">
        <f>+F14/12</f>
        <v>421300</v>
      </c>
      <c r="H14" s="31">
        <f ca="1">COAH_Calendario!T17</f>
        <v>3791700</v>
      </c>
      <c r="I14" s="200">
        <f>COAH_Calendario!T18</f>
        <v>3370398.12</v>
      </c>
      <c r="J14" s="73">
        <f t="shared" ca="1" si="0"/>
        <v>421301.87999999989</v>
      </c>
      <c r="K14" s="201">
        <f t="shared" ca="1" si="1"/>
        <v>11.111160693092804</v>
      </c>
      <c r="L14" s="202">
        <f t="shared" ca="1" si="2"/>
        <v>88.888839306907201</v>
      </c>
      <c r="M14" s="203" t="s">
        <v>986</v>
      </c>
      <c r="O14" s="9"/>
    </row>
    <row r="15" spans="1:18" ht="51" customHeight="1" x14ac:dyDescent="0.25">
      <c r="A15" s="132" t="s">
        <v>193</v>
      </c>
      <c r="B15" s="179">
        <v>380200</v>
      </c>
      <c r="C15" s="155" t="s">
        <v>194</v>
      </c>
      <c r="D15" s="135" t="s">
        <v>195</v>
      </c>
      <c r="E15" s="199" t="s">
        <v>196</v>
      </c>
      <c r="F15" s="29">
        <f>COAH_Calendario!F19</f>
        <v>1284936</v>
      </c>
      <c r="G15" s="44">
        <f>+F15/12</f>
        <v>107078</v>
      </c>
      <c r="H15" s="31">
        <f ca="1">COAH_Calendario!T19</f>
        <v>963702</v>
      </c>
      <c r="I15" s="204">
        <f>COAH_Calendario!T20</f>
        <v>738461.46</v>
      </c>
      <c r="J15" s="73">
        <f t="shared" ca="1" si="0"/>
        <v>225240.54000000004</v>
      </c>
      <c r="K15" s="201">
        <f t="shared" ca="1" si="1"/>
        <v>23.372426330961236</v>
      </c>
      <c r="L15" s="202">
        <f t="shared" ca="1" si="2"/>
        <v>76.627573669038767</v>
      </c>
      <c r="M15" s="203" t="s">
        <v>205</v>
      </c>
      <c r="O15" s="9"/>
    </row>
    <row r="16" spans="1:18" ht="41.25" customHeight="1" x14ac:dyDescent="0.25">
      <c r="A16" s="132" t="s">
        <v>197</v>
      </c>
      <c r="B16" s="179">
        <v>380200</v>
      </c>
      <c r="C16" s="155" t="s">
        <v>188</v>
      </c>
      <c r="D16" s="135" t="s">
        <v>198</v>
      </c>
      <c r="E16" s="199" t="s">
        <v>196</v>
      </c>
      <c r="F16" s="29">
        <f>COAH_Calendario!F21</f>
        <v>1246308</v>
      </c>
      <c r="G16" s="44">
        <f>+F16/12</f>
        <v>103859</v>
      </c>
      <c r="H16" s="31">
        <f ca="1">COAH_Calendario!T21</f>
        <v>934731</v>
      </c>
      <c r="I16" s="204">
        <f>COAH_Calendario!T22</f>
        <v>830807.54</v>
      </c>
      <c r="J16" s="73">
        <f t="shared" ca="1" si="0"/>
        <v>103923.45999999996</v>
      </c>
      <c r="K16" s="201">
        <f t="shared" ca="1" si="1"/>
        <v>11.118007212770301</v>
      </c>
      <c r="L16" s="202">
        <f t="shared" ca="1" si="2"/>
        <v>88.881992787229706</v>
      </c>
      <c r="M16" s="203" t="s">
        <v>986</v>
      </c>
      <c r="O16" s="9"/>
      <c r="P16" s="205"/>
      <c r="Q16" s="205"/>
      <c r="R16" s="205"/>
    </row>
    <row r="17" spans="1:19" ht="78" customHeight="1" x14ac:dyDescent="0.25">
      <c r="A17" s="141" t="s">
        <v>187</v>
      </c>
      <c r="B17" s="180">
        <v>140100</v>
      </c>
      <c r="C17" s="155" t="s">
        <v>188</v>
      </c>
      <c r="D17" s="135" t="s">
        <v>199</v>
      </c>
      <c r="E17" s="199" t="s">
        <v>200</v>
      </c>
      <c r="F17" s="29">
        <f>COAH_Calendario!F23</f>
        <v>1455360</v>
      </c>
      <c r="G17" s="44">
        <f>+F17/12</f>
        <v>121280</v>
      </c>
      <c r="H17" s="31">
        <f ca="1">COAH_Calendario!T23</f>
        <v>1091520</v>
      </c>
      <c r="I17" s="204">
        <f>COAH_Calendario!T24</f>
        <v>737864.03</v>
      </c>
      <c r="J17" s="73">
        <f t="shared" ca="1" si="0"/>
        <v>353655.97</v>
      </c>
      <c r="K17" s="201">
        <f t="shared" ca="1" si="1"/>
        <v>32.4003197376136</v>
      </c>
      <c r="L17" s="202">
        <f t="shared" ca="1" si="2"/>
        <v>67.5996802623864</v>
      </c>
      <c r="M17" s="203" t="s">
        <v>205</v>
      </c>
      <c r="O17" s="9"/>
      <c r="P17" s="205"/>
      <c r="Q17" s="205"/>
      <c r="R17" s="205"/>
    </row>
    <row r="18" spans="1:19" ht="64.5" customHeight="1" thickBot="1" x14ac:dyDescent="0.3">
      <c r="A18" s="194" t="s">
        <v>202</v>
      </c>
      <c r="B18" s="195">
        <v>150100</v>
      </c>
      <c r="C18" s="173"/>
      <c r="D18" s="206" t="s">
        <v>206</v>
      </c>
      <c r="E18" s="207" t="s">
        <v>204</v>
      </c>
      <c r="F18" s="29">
        <f>COAH_Calendario!F25</f>
        <v>9521280</v>
      </c>
      <c r="G18" s="80">
        <f>F18/12</f>
        <v>793440</v>
      </c>
      <c r="H18" s="31">
        <f ca="1">COAH_Calendario!T25</f>
        <v>7140960</v>
      </c>
      <c r="I18" s="208">
        <f>COAH_Calendario!T26</f>
        <v>5471997.8100000005</v>
      </c>
      <c r="J18" s="73">
        <f t="shared" ca="1" si="0"/>
        <v>1668962.1899999995</v>
      </c>
      <c r="K18" s="209">
        <f t="shared" ca="1" si="1"/>
        <v>23.371678177723997</v>
      </c>
      <c r="L18" s="210">
        <f t="shared" ca="1" si="2"/>
        <v>76.628321822276007</v>
      </c>
      <c r="M18" s="203" t="s">
        <v>205</v>
      </c>
      <c r="O18" s="9"/>
      <c r="P18" s="205"/>
      <c r="Q18" s="205"/>
      <c r="R18" s="205"/>
    </row>
    <row r="19" spans="1:19" ht="52.5" hidden="1" customHeight="1" thickBot="1" x14ac:dyDescent="0.3">
      <c r="A19" s="211" t="s">
        <v>207</v>
      </c>
      <c r="B19" s="195">
        <v>920201</v>
      </c>
      <c r="C19" s="21" t="s">
        <v>208</v>
      </c>
      <c r="D19" s="212" t="s">
        <v>209</v>
      </c>
      <c r="E19" s="213" t="s">
        <v>210</v>
      </c>
      <c r="F19" s="214"/>
      <c r="G19" s="215"/>
      <c r="H19" s="216"/>
      <c r="I19" s="217"/>
      <c r="J19" s="218"/>
      <c r="K19" s="150"/>
      <c r="L19" s="151" t="e">
        <f t="shared" si="2"/>
        <v>#DIV/0!</v>
      </c>
      <c r="M19" s="219" t="s">
        <v>211</v>
      </c>
      <c r="O19" s="9"/>
      <c r="P19" s="205"/>
      <c r="Q19" s="205"/>
      <c r="R19" s="205"/>
    </row>
    <row r="20" spans="1:19" ht="80.25" hidden="1" customHeight="1" thickBot="1" x14ac:dyDescent="0.3">
      <c r="A20" s="211" t="s">
        <v>187</v>
      </c>
      <c r="B20" s="194" t="s">
        <v>37</v>
      </c>
      <c r="C20" s="220"/>
      <c r="D20" s="212" t="s">
        <v>212</v>
      </c>
      <c r="E20" s="213" t="s">
        <v>180</v>
      </c>
      <c r="F20" s="221"/>
      <c r="G20" s="66"/>
      <c r="H20" s="222"/>
      <c r="I20" s="223"/>
      <c r="J20" s="224">
        <f>+I20-H20</f>
        <v>0</v>
      </c>
      <c r="K20" s="225" t="e">
        <f>+J20/H20*100</f>
        <v>#DIV/0!</v>
      </c>
      <c r="L20" s="226" t="e">
        <f t="shared" si="2"/>
        <v>#DIV/0!</v>
      </c>
      <c r="M20" s="203" t="s">
        <v>213</v>
      </c>
      <c r="O20" s="9"/>
      <c r="P20" s="205"/>
      <c r="Q20" s="205"/>
      <c r="R20" s="205"/>
    </row>
    <row r="21" spans="1:19" ht="15.75" thickBot="1" x14ac:dyDescent="0.3">
      <c r="A21" s="4"/>
      <c r="B21" s="40">
        <v>7</v>
      </c>
      <c r="C21" s="24">
        <f>COUNT(C17:C20)</f>
        <v>0</v>
      </c>
      <c r="D21" s="7"/>
      <c r="E21" s="6"/>
      <c r="F21" s="32">
        <f>SUM(F12:F20)</f>
        <v>23746645</v>
      </c>
      <c r="G21" s="32">
        <f>SUM(G12:G20)</f>
        <v>1923510</v>
      </c>
      <c r="H21" s="32">
        <f ca="1">SUM(H12:H20)</f>
        <v>17809992</v>
      </c>
      <c r="I21" s="215">
        <f>SUM(I12:I20)</f>
        <v>14161948.450000001</v>
      </c>
      <c r="J21" s="73">
        <f ca="1">H21-I21</f>
        <v>3648043.5499999989</v>
      </c>
      <c r="K21" s="150">
        <f ca="1">+J21/H21*100</f>
        <v>20.483128515723077</v>
      </c>
      <c r="L21" s="151">
        <f t="shared" ca="1" si="2"/>
        <v>79.516871484276919</v>
      </c>
      <c r="M21" s="5"/>
      <c r="P21" s="205"/>
      <c r="Q21" s="205"/>
      <c r="R21" s="205"/>
    </row>
    <row r="22" spans="1:19" x14ac:dyDescent="0.25">
      <c r="A22" s="4"/>
      <c r="B22" s="40"/>
      <c r="C22" s="24">
        <f>COUNT(#REF!)</f>
        <v>0</v>
      </c>
      <c r="D22" s="7"/>
      <c r="E22" s="6"/>
      <c r="M22" s="5"/>
      <c r="P22" s="205"/>
      <c r="Q22" s="205"/>
      <c r="R22" s="205"/>
    </row>
    <row r="23" spans="1:19" ht="31.5" customHeight="1" x14ac:dyDescent="0.25">
      <c r="H23" s="198"/>
      <c r="I23" s="9"/>
      <c r="M23" s="857"/>
      <c r="P23" s="205"/>
      <c r="Q23" s="205"/>
      <c r="R23" s="205"/>
    </row>
    <row r="24" spans="1:19" ht="31.5" customHeight="1" x14ac:dyDescent="0.25">
      <c r="H24" s="198"/>
      <c r="I24" s="9"/>
      <c r="M24" s="857"/>
      <c r="P24" s="205"/>
      <c r="Q24" s="205"/>
      <c r="R24" s="205"/>
    </row>
    <row r="25" spans="1:19" ht="31.5" customHeight="1" x14ac:dyDescent="0.25">
      <c r="M25" t="s">
        <v>214</v>
      </c>
      <c r="P25" s="205"/>
      <c r="Q25" s="205"/>
      <c r="R25" s="205"/>
    </row>
    <row r="26" spans="1:19" x14ac:dyDescent="0.25">
      <c r="P26" s="205"/>
      <c r="Q26" s="205"/>
      <c r="R26" s="205"/>
    </row>
    <row r="27" spans="1:19" x14ac:dyDescent="0.25">
      <c r="P27" s="205"/>
      <c r="Q27" s="205"/>
      <c r="R27" s="205"/>
    </row>
    <row r="28" spans="1:19" x14ac:dyDescent="0.25">
      <c r="P28" s="9"/>
      <c r="Q28" s="9"/>
      <c r="R28" s="9"/>
      <c r="S28" s="205"/>
    </row>
    <row r="29" spans="1:19" x14ac:dyDescent="0.25">
      <c r="R29" s="9"/>
    </row>
  </sheetData>
  <mergeCells count="12">
    <mergeCell ref="M10:M11"/>
    <mergeCell ref="M23:M24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view="pageBreakPreview" zoomScale="81" zoomScaleNormal="100" zoomScaleSheetLayoutView="81" zoomScalePageLayoutView="80" workbookViewId="0">
      <pane xSplit="5" ySplit="12" topLeftCell="O23" activePane="bottomRight" state="frozen"/>
      <selection activeCell="D36" sqref="D36"/>
      <selection pane="topRight" activeCell="D36" sqref="D36"/>
      <selection pane="bottomLeft" activeCell="D36" sqref="D36"/>
      <selection pane="bottomRight" activeCell="H26" sqref="H26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4" customWidth="1"/>
    <col min="5" max="5" width="27.28515625" style="1" customWidth="1"/>
    <col min="6" max="6" width="17.42578125" customWidth="1"/>
    <col min="7" max="19" width="15.85546875" customWidth="1"/>
    <col min="20" max="20" width="19.140625" customWidth="1"/>
    <col min="21" max="21" width="35.8554687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D1" s="10" t="s">
        <v>25</v>
      </c>
      <c r="U1" s="11"/>
    </row>
    <row r="2" spans="1:21" ht="18" x14ac:dyDescent="0.25">
      <c r="D2" s="10" t="s">
        <v>24</v>
      </c>
    </row>
    <row r="3" spans="1:21" ht="18" x14ac:dyDescent="0.25">
      <c r="D3" s="10" t="s">
        <v>23</v>
      </c>
    </row>
    <row r="4" spans="1:21" ht="18" x14ac:dyDescent="0.25">
      <c r="D4" s="10" t="s">
        <v>22</v>
      </c>
    </row>
    <row r="5" spans="1:21" ht="18" x14ac:dyDescent="0.25">
      <c r="D5" s="10" t="s">
        <v>21</v>
      </c>
    </row>
    <row r="6" spans="1:21" ht="20.25" x14ac:dyDescent="0.3">
      <c r="D6" s="14" t="s">
        <v>20</v>
      </c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182</v>
      </c>
      <c r="E8" s="10" t="s">
        <v>124</v>
      </c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</row>
    <row r="9" spans="1:21" ht="18.75" thickBot="1" x14ac:dyDescent="0.3">
      <c r="D9" s="39"/>
      <c r="E9" s="10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</row>
    <row r="10" spans="1:21" ht="18.75" hidden="1" thickBot="1" x14ac:dyDescent="0.3">
      <c r="D10" s="10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167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9.75" customHeight="1" thickTop="1" x14ac:dyDescent="0.25">
      <c r="A13" s="179">
        <v>200200</v>
      </c>
      <c r="B13" s="132">
        <v>52409</v>
      </c>
      <c r="C13" s="155" t="s">
        <v>184</v>
      </c>
      <c r="D13" s="873" t="s">
        <v>185</v>
      </c>
      <c r="E13" s="874" t="s">
        <v>186</v>
      </c>
      <c r="F13" s="898">
        <f>SUM(H13:S13)</f>
        <v>2559336</v>
      </c>
      <c r="G13" s="47" t="s">
        <v>52</v>
      </c>
      <c r="H13" s="47"/>
      <c r="I13" s="47">
        <f t="shared" ref="I13:S13" si="0">VLOOKUP($A13&amp;$B13&amp;I$10,Base,8,FALSE)</f>
        <v>0</v>
      </c>
      <c r="J13" s="47">
        <f t="shared" si="0"/>
        <v>0</v>
      </c>
      <c r="K13" s="47">
        <f t="shared" si="0"/>
        <v>0</v>
      </c>
      <c r="L13" s="47">
        <f t="shared" si="0"/>
        <v>0</v>
      </c>
      <c r="M13" s="47">
        <f t="shared" si="0"/>
        <v>0</v>
      </c>
      <c r="N13" s="47">
        <f t="shared" si="0"/>
        <v>1279664.97</v>
      </c>
      <c r="O13" s="47">
        <f t="shared" si="0"/>
        <v>213277.5</v>
      </c>
      <c r="P13" s="47">
        <f t="shared" si="0"/>
        <v>213277.5</v>
      </c>
      <c r="Q13" s="47">
        <f t="shared" si="0"/>
        <v>213282.03</v>
      </c>
      <c r="R13" s="47">
        <f t="shared" si="0"/>
        <v>213278</v>
      </c>
      <c r="S13" s="47">
        <f t="shared" si="0"/>
        <v>426556</v>
      </c>
      <c r="T13" s="193">
        <f ca="1">SUM($H13:(OFFSET($H13,0,AVANCE060826!$T$2)))</f>
        <v>1919502</v>
      </c>
      <c r="U13" s="896"/>
    </row>
    <row r="14" spans="1:21" ht="39.75" customHeight="1" x14ac:dyDescent="0.25">
      <c r="A14" s="179">
        <v>200200</v>
      </c>
      <c r="B14" s="132">
        <v>52409</v>
      </c>
      <c r="C14" s="155"/>
      <c r="D14" s="873"/>
      <c r="E14" s="874"/>
      <c r="F14" s="898"/>
      <c r="G14" s="47" t="s">
        <v>53</v>
      </c>
      <c r="H14" s="47"/>
      <c r="I14" s="47">
        <f t="shared" ref="I14:S14" si="1">VLOOKUP($A14&amp;$B14&amp;I$10,Base,9,FALSE)</f>
        <v>0</v>
      </c>
      <c r="J14" s="47">
        <f t="shared" si="1"/>
        <v>0</v>
      </c>
      <c r="K14" s="47">
        <f t="shared" si="1"/>
        <v>0</v>
      </c>
      <c r="L14" s="47">
        <f t="shared" si="1"/>
        <v>0</v>
      </c>
      <c r="M14" s="47">
        <f t="shared" si="1"/>
        <v>0</v>
      </c>
      <c r="N14" s="47">
        <f t="shared" si="1"/>
        <v>1279664.97</v>
      </c>
      <c r="O14" s="47">
        <f t="shared" si="1"/>
        <v>213277.5</v>
      </c>
      <c r="P14" s="47">
        <f t="shared" si="1"/>
        <v>213277.5</v>
      </c>
      <c r="Q14" s="47">
        <f t="shared" si="1"/>
        <v>0</v>
      </c>
      <c r="R14" s="47">
        <f t="shared" si="1"/>
        <v>0</v>
      </c>
      <c r="S14" s="47">
        <f t="shared" si="1"/>
        <v>0</v>
      </c>
      <c r="T14" s="193">
        <f>SUM(H14:S14)</f>
        <v>1706219.97</v>
      </c>
      <c r="U14" s="897"/>
    </row>
    <row r="15" spans="1:21" ht="39.75" customHeight="1" x14ac:dyDescent="0.25">
      <c r="A15" s="179">
        <v>700100</v>
      </c>
      <c r="B15" s="132">
        <v>59001</v>
      </c>
      <c r="C15" s="155" t="s">
        <v>188</v>
      </c>
      <c r="D15" s="873" t="s">
        <v>189</v>
      </c>
      <c r="E15" s="874" t="s">
        <v>190</v>
      </c>
      <c r="F15" s="898">
        <f>SUM(H15:S15)</f>
        <v>2623825</v>
      </c>
      <c r="G15" s="47" t="s">
        <v>52</v>
      </c>
      <c r="H15" s="47"/>
      <c r="I15" s="47">
        <f t="shared" ref="I15:S15" si="2">VLOOKUP($A15&amp;$B15&amp;I$10,Base,8,FALSE)</f>
        <v>0</v>
      </c>
      <c r="J15" s="47">
        <f t="shared" si="2"/>
        <v>0</v>
      </c>
      <c r="K15" s="47">
        <f t="shared" si="2"/>
        <v>0</v>
      </c>
      <c r="L15" s="47">
        <f t="shared" si="2"/>
        <v>653099.76</v>
      </c>
      <c r="M15" s="47">
        <f t="shared" si="2"/>
        <v>163274.94</v>
      </c>
      <c r="N15" s="47">
        <f t="shared" si="2"/>
        <v>0</v>
      </c>
      <c r="O15" s="47">
        <f t="shared" si="2"/>
        <v>326549.88</v>
      </c>
      <c r="P15" s="47">
        <f t="shared" si="2"/>
        <v>0</v>
      </c>
      <c r="Q15" s="47">
        <f t="shared" si="2"/>
        <v>824952.42</v>
      </c>
      <c r="R15" s="47">
        <f t="shared" si="2"/>
        <v>218653</v>
      </c>
      <c r="S15" s="47">
        <f t="shared" si="2"/>
        <v>437295</v>
      </c>
      <c r="T15" s="193">
        <f ca="1">SUM($H15:(OFFSET($H15,0,AVANCE060826!$T$2)))</f>
        <v>1967877</v>
      </c>
      <c r="U15" s="899"/>
    </row>
    <row r="16" spans="1:21" ht="39.75" customHeight="1" x14ac:dyDescent="0.25">
      <c r="A16" s="179">
        <v>700100</v>
      </c>
      <c r="B16" s="132">
        <v>59001</v>
      </c>
      <c r="C16" s="155"/>
      <c r="D16" s="873"/>
      <c r="E16" s="874"/>
      <c r="F16" s="898"/>
      <c r="G16" s="47" t="s">
        <v>53</v>
      </c>
      <c r="H16" s="47"/>
      <c r="I16" s="728">
        <f t="shared" ref="I16:S16" si="3">VLOOKUP($A16&amp;$B16&amp;I$10,Base,9,FALSE)</f>
        <v>0</v>
      </c>
      <c r="J16" s="728">
        <f t="shared" si="3"/>
        <v>0</v>
      </c>
      <c r="K16" s="728">
        <f t="shared" si="3"/>
        <v>0</v>
      </c>
      <c r="L16" s="728">
        <f t="shared" si="3"/>
        <v>653099.76</v>
      </c>
      <c r="M16" s="728">
        <f t="shared" si="3"/>
        <v>163274.94</v>
      </c>
      <c r="N16" s="728">
        <f t="shared" si="3"/>
        <v>0</v>
      </c>
      <c r="O16" s="728">
        <f t="shared" si="3"/>
        <v>326549.88</v>
      </c>
      <c r="P16" s="728">
        <f t="shared" si="3"/>
        <v>0</v>
      </c>
      <c r="Q16" s="728">
        <f t="shared" si="3"/>
        <v>163274.94</v>
      </c>
      <c r="R16" s="728">
        <f t="shared" si="3"/>
        <v>0</v>
      </c>
      <c r="S16" s="728">
        <f t="shared" si="3"/>
        <v>0</v>
      </c>
      <c r="T16" s="193">
        <f>SUM(H16:S16)</f>
        <v>1306199.52</v>
      </c>
      <c r="U16" s="900"/>
    </row>
    <row r="17" spans="1:23" ht="39.75" customHeight="1" x14ac:dyDescent="0.25">
      <c r="A17" s="179">
        <v>900110</v>
      </c>
      <c r="B17" s="132">
        <v>59102</v>
      </c>
      <c r="C17" s="155" t="s">
        <v>184</v>
      </c>
      <c r="D17" s="873" t="s">
        <v>192</v>
      </c>
      <c r="E17" s="874" t="s">
        <v>190</v>
      </c>
      <c r="F17" s="898">
        <f>SUM(H17:S17)</f>
        <v>5055600</v>
      </c>
      <c r="G17" s="47" t="s">
        <v>52</v>
      </c>
      <c r="H17" s="47"/>
      <c r="I17" s="47">
        <f t="shared" ref="I17:S17" si="4">VLOOKUP($A17&amp;$B17&amp;I$10,Base,8,FALSE)</f>
        <v>0</v>
      </c>
      <c r="J17" s="47">
        <f t="shared" si="4"/>
        <v>0</v>
      </c>
      <c r="K17" s="47">
        <f t="shared" si="4"/>
        <v>1263899.29</v>
      </c>
      <c r="L17" s="47">
        <f t="shared" si="4"/>
        <v>421299.77</v>
      </c>
      <c r="M17" s="47">
        <f t="shared" si="4"/>
        <v>0</v>
      </c>
      <c r="N17" s="47">
        <f t="shared" si="4"/>
        <v>842599.52</v>
      </c>
      <c r="O17" s="47">
        <f t="shared" si="4"/>
        <v>421299.77</v>
      </c>
      <c r="P17" s="47">
        <f t="shared" si="4"/>
        <v>421299.77</v>
      </c>
      <c r="Q17" s="47">
        <f t="shared" si="4"/>
        <v>421301.88</v>
      </c>
      <c r="R17" s="47">
        <f t="shared" si="4"/>
        <v>421300</v>
      </c>
      <c r="S17" s="47">
        <f t="shared" si="4"/>
        <v>842600</v>
      </c>
      <c r="T17" s="193">
        <f ca="1">SUM($H17:(OFFSET($H17,0,AVANCE060826!$T$2)))</f>
        <v>3791700</v>
      </c>
      <c r="U17" s="896"/>
    </row>
    <row r="18" spans="1:23" ht="39.75" customHeight="1" x14ac:dyDescent="0.25">
      <c r="A18" s="179">
        <v>900110</v>
      </c>
      <c r="B18" s="132">
        <v>59102</v>
      </c>
      <c r="C18" s="155"/>
      <c r="D18" s="873"/>
      <c r="E18" s="874"/>
      <c r="F18" s="898"/>
      <c r="G18" s="47" t="s">
        <v>53</v>
      </c>
      <c r="H18" s="47"/>
      <c r="I18" s="47">
        <f t="shared" ref="I18:S18" si="5">VLOOKUP($A18&amp;$B18&amp;I$10,Base,9,FALSE)</f>
        <v>0</v>
      </c>
      <c r="J18" s="47">
        <f t="shared" si="5"/>
        <v>0</v>
      </c>
      <c r="K18" s="47">
        <f t="shared" si="5"/>
        <v>1263899.29</v>
      </c>
      <c r="L18" s="47">
        <f t="shared" si="5"/>
        <v>421299.77</v>
      </c>
      <c r="M18" s="47">
        <f t="shared" si="5"/>
        <v>0</v>
      </c>
      <c r="N18" s="47">
        <f t="shared" si="5"/>
        <v>842599.52</v>
      </c>
      <c r="O18" s="47">
        <f t="shared" si="5"/>
        <v>421299.77</v>
      </c>
      <c r="P18" s="47">
        <f t="shared" si="5"/>
        <v>421299.77</v>
      </c>
      <c r="Q18" s="47">
        <f t="shared" si="5"/>
        <v>0</v>
      </c>
      <c r="R18" s="47">
        <f t="shared" si="5"/>
        <v>0</v>
      </c>
      <c r="S18" s="47">
        <f t="shared" si="5"/>
        <v>0</v>
      </c>
      <c r="T18" s="193">
        <f>SUM(H18:S18)</f>
        <v>3370398.12</v>
      </c>
      <c r="U18" s="897"/>
    </row>
    <row r="19" spans="1:23" ht="39.75" customHeight="1" x14ac:dyDescent="0.25">
      <c r="A19" s="179">
        <v>380200</v>
      </c>
      <c r="B19" s="132">
        <v>55905</v>
      </c>
      <c r="C19" s="155" t="s">
        <v>194</v>
      </c>
      <c r="D19" s="873" t="s">
        <v>195</v>
      </c>
      <c r="E19" s="874" t="s">
        <v>196</v>
      </c>
      <c r="F19" s="898">
        <f>SUM(H19:S19)</f>
        <v>1284936</v>
      </c>
      <c r="G19" s="47" t="s">
        <v>52</v>
      </c>
      <c r="H19" s="47"/>
      <c r="I19" s="47">
        <f t="shared" ref="I19:S19" si="6">VLOOKUP($A19&amp;$B19&amp;I$10,Base,8,FALSE)</f>
        <v>0</v>
      </c>
      <c r="J19" s="47">
        <f t="shared" si="6"/>
        <v>0</v>
      </c>
      <c r="K19" s="47">
        <f t="shared" si="6"/>
        <v>276923.06</v>
      </c>
      <c r="L19" s="47">
        <f t="shared" si="6"/>
        <v>92307.68</v>
      </c>
      <c r="M19" s="47">
        <f t="shared" si="6"/>
        <v>92307.68</v>
      </c>
      <c r="N19" s="47">
        <f t="shared" si="6"/>
        <v>92307.68</v>
      </c>
      <c r="O19" s="47">
        <f t="shared" si="6"/>
        <v>92307.68</v>
      </c>
      <c r="P19" s="47">
        <f t="shared" si="6"/>
        <v>92307.68</v>
      </c>
      <c r="Q19" s="47">
        <f t="shared" si="6"/>
        <v>225240.54</v>
      </c>
      <c r="R19" s="47">
        <f t="shared" si="6"/>
        <v>107078</v>
      </c>
      <c r="S19" s="47">
        <f t="shared" si="6"/>
        <v>214156</v>
      </c>
      <c r="T19" s="193">
        <f ca="1">SUM($H19:(OFFSET($H19,0,AVANCE060826!$T$2)))</f>
        <v>963702</v>
      </c>
      <c r="U19" s="896"/>
    </row>
    <row r="20" spans="1:23" ht="39.75" customHeight="1" x14ac:dyDescent="0.25">
      <c r="A20" s="179">
        <v>380200</v>
      </c>
      <c r="B20" s="132">
        <v>55905</v>
      </c>
      <c r="C20" s="155"/>
      <c r="D20" s="873"/>
      <c r="E20" s="874"/>
      <c r="F20" s="898"/>
      <c r="G20" s="47" t="s">
        <v>53</v>
      </c>
      <c r="H20" s="47"/>
      <c r="I20" s="47">
        <f t="shared" ref="I20:S20" si="7">VLOOKUP($A20&amp;$B20&amp;I$10,Base,9,FALSE)</f>
        <v>0</v>
      </c>
      <c r="J20" s="47">
        <f t="shared" si="7"/>
        <v>0</v>
      </c>
      <c r="K20" s="47">
        <f t="shared" si="7"/>
        <v>276923.06</v>
      </c>
      <c r="L20" s="47">
        <f t="shared" si="7"/>
        <v>92307.68</v>
      </c>
      <c r="M20" s="47">
        <f t="shared" si="7"/>
        <v>92307.68</v>
      </c>
      <c r="N20" s="47">
        <f t="shared" si="7"/>
        <v>92307.68</v>
      </c>
      <c r="O20" s="47">
        <f t="shared" si="7"/>
        <v>92307.68</v>
      </c>
      <c r="P20" s="47">
        <f t="shared" si="7"/>
        <v>92307.68</v>
      </c>
      <c r="Q20" s="47">
        <f t="shared" si="7"/>
        <v>0</v>
      </c>
      <c r="R20" s="47">
        <f t="shared" si="7"/>
        <v>0</v>
      </c>
      <c r="S20" s="47">
        <f t="shared" si="7"/>
        <v>0</v>
      </c>
      <c r="T20" s="193">
        <f>SUM(H20:S20)</f>
        <v>738461.46</v>
      </c>
      <c r="U20" s="897"/>
    </row>
    <row r="21" spans="1:23" ht="39.75" customHeight="1" x14ac:dyDescent="0.25">
      <c r="A21" s="179">
        <v>380200</v>
      </c>
      <c r="B21" s="132">
        <v>55901</v>
      </c>
      <c r="C21" s="155" t="s">
        <v>188</v>
      </c>
      <c r="D21" s="873" t="s">
        <v>198</v>
      </c>
      <c r="E21" s="874" t="s">
        <v>196</v>
      </c>
      <c r="F21" s="898">
        <f>SUM(H21:S21)</f>
        <v>1246308</v>
      </c>
      <c r="G21" s="47" t="s">
        <v>52</v>
      </c>
      <c r="H21" s="47"/>
      <c r="I21" s="47">
        <f t="shared" ref="I21:S21" si="8">VLOOKUP($A21&amp;$B21&amp;I$10,Base,8,FALSE)</f>
        <v>0</v>
      </c>
      <c r="J21" s="47">
        <f t="shared" si="8"/>
        <v>0</v>
      </c>
      <c r="K21" s="47">
        <f t="shared" si="8"/>
        <v>0</v>
      </c>
      <c r="L21" s="47">
        <f t="shared" si="8"/>
        <v>0</v>
      </c>
      <c r="M21" s="47">
        <f t="shared" si="8"/>
        <v>0</v>
      </c>
      <c r="N21" s="47">
        <f t="shared" si="8"/>
        <v>623105.66</v>
      </c>
      <c r="O21" s="47">
        <f t="shared" si="8"/>
        <v>103850.94</v>
      </c>
      <c r="P21" s="47">
        <f t="shared" si="8"/>
        <v>103850.94</v>
      </c>
      <c r="Q21" s="47">
        <f t="shared" si="8"/>
        <v>103923.46</v>
      </c>
      <c r="R21" s="47">
        <f t="shared" si="8"/>
        <v>103859</v>
      </c>
      <c r="S21" s="47">
        <f t="shared" si="8"/>
        <v>207718</v>
      </c>
      <c r="T21" s="193">
        <f ca="1">SUM($H21:(OFFSET($H21,0,AVANCE060826!$T$2)))</f>
        <v>934731</v>
      </c>
      <c r="U21" s="896"/>
    </row>
    <row r="22" spans="1:23" ht="39.75" customHeight="1" x14ac:dyDescent="0.25">
      <c r="A22" s="179">
        <v>380200</v>
      </c>
      <c r="B22" s="132">
        <v>55901</v>
      </c>
      <c r="C22" s="155"/>
      <c r="D22" s="873"/>
      <c r="E22" s="874"/>
      <c r="F22" s="898"/>
      <c r="G22" s="47" t="s">
        <v>53</v>
      </c>
      <c r="H22" s="47"/>
      <c r="I22" s="47">
        <f t="shared" ref="I22:S22" si="9">VLOOKUP($A22&amp;$B22&amp;I$10,Base,9,FALSE)</f>
        <v>0</v>
      </c>
      <c r="J22" s="47">
        <f t="shared" si="9"/>
        <v>0</v>
      </c>
      <c r="K22" s="47">
        <f t="shared" si="9"/>
        <v>0</v>
      </c>
      <c r="L22" s="47">
        <f t="shared" si="9"/>
        <v>0</v>
      </c>
      <c r="M22" s="47">
        <f t="shared" si="9"/>
        <v>0</v>
      </c>
      <c r="N22" s="47">
        <f t="shared" si="9"/>
        <v>623105.66</v>
      </c>
      <c r="O22" s="47">
        <f t="shared" si="9"/>
        <v>103850.94</v>
      </c>
      <c r="P22" s="47">
        <f t="shared" si="9"/>
        <v>103850.94</v>
      </c>
      <c r="Q22" s="47">
        <f t="shared" si="9"/>
        <v>0</v>
      </c>
      <c r="R22" s="47">
        <f t="shared" si="9"/>
        <v>0</v>
      </c>
      <c r="S22" s="47">
        <f t="shared" si="9"/>
        <v>0</v>
      </c>
      <c r="T22" s="193">
        <f>SUM(H22:S22)</f>
        <v>830807.54</v>
      </c>
      <c r="U22" s="897"/>
    </row>
    <row r="23" spans="1:23" ht="39.75" customHeight="1" x14ac:dyDescent="0.25">
      <c r="A23" s="180">
        <v>140100</v>
      </c>
      <c r="B23" s="141">
        <v>59001</v>
      </c>
      <c r="C23" s="155" t="s">
        <v>188</v>
      </c>
      <c r="D23" s="873" t="s">
        <v>199</v>
      </c>
      <c r="E23" s="874" t="s">
        <v>200</v>
      </c>
      <c r="F23" s="898">
        <f>SUM(H23:S23)</f>
        <v>1455360</v>
      </c>
      <c r="G23" s="47" t="s">
        <v>52</v>
      </c>
      <c r="H23" s="47"/>
      <c r="I23" s="47">
        <f t="shared" ref="I23:S23" si="10">VLOOKUP($A23&amp;$B23&amp;I$10,Base,8,FALSE)</f>
        <v>0</v>
      </c>
      <c r="J23" s="47">
        <f t="shared" si="10"/>
        <v>0</v>
      </c>
      <c r="K23" s="47">
        <f t="shared" si="10"/>
        <v>288840</v>
      </c>
      <c r="L23" s="47">
        <f t="shared" si="10"/>
        <v>96280</v>
      </c>
      <c r="M23" s="47">
        <f t="shared" si="10"/>
        <v>0</v>
      </c>
      <c r="N23" s="47">
        <f t="shared" si="10"/>
        <v>176372.01</v>
      </c>
      <c r="O23" s="47">
        <f t="shared" si="10"/>
        <v>88186.01</v>
      </c>
      <c r="P23" s="47">
        <f t="shared" si="10"/>
        <v>88186.01</v>
      </c>
      <c r="Q23" s="47">
        <f t="shared" si="10"/>
        <v>353655.97</v>
      </c>
      <c r="R23" s="47">
        <f t="shared" si="10"/>
        <v>121280</v>
      </c>
      <c r="S23" s="47">
        <f t="shared" si="10"/>
        <v>242560</v>
      </c>
      <c r="T23" s="193">
        <f ca="1">SUM($H23:(OFFSET($H23,0,AVANCE060826!$T$2)))</f>
        <v>1091520</v>
      </c>
      <c r="U23" s="896" t="s">
        <v>201</v>
      </c>
    </row>
    <row r="24" spans="1:23" ht="39.75" customHeight="1" x14ac:dyDescent="0.25">
      <c r="A24" s="180">
        <v>140100</v>
      </c>
      <c r="B24" s="141">
        <v>59001</v>
      </c>
      <c r="C24" s="155"/>
      <c r="D24" s="873"/>
      <c r="E24" s="874"/>
      <c r="F24" s="898"/>
      <c r="G24" s="47" t="s">
        <v>53</v>
      </c>
      <c r="H24" s="47"/>
      <c r="I24" s="47">
        <f t="shared" ref="I24:S24" si="11">VLOOKUP($A24&amp;$B24&amp;I$10,Base,9,FALSE)</f>
        <v>0</v>
      </c>
      <c r="J24" s="47">
        <f t="shared" si="11"/>
        <v>0</v>
      </c>
      <c r="K24" s="47">
        <f t="shared" si="11"/>
        <v>288840</v>
      </c>
      <c r="L24" s="47">
        <f t="shared" si="11"/>
        <v>96280</v>
      </c>
      <c r="M24" s="47">
        <f t="shared" si="11"/>
        <v>0</v>
      </c>
      <c r="N24" s="47">
        <f t="shared" si="11"/>
        <v>176372.01</v>
      </c>
      <c r="O24" s="47">
        <f t="shared" si="11"/>
        <v>88186.01</v>
      </c>
      <c r="P24" s="47">
        <f t="shared" si="11"/>
        <v>88186.01</v>
      </c>
      <c r="Q24" s="47">
        <f t="shared" si="11"/>
        <v>0</v>
      </c>
      <c r="R24" s="47">
        <f t="shared" si="11"/>
        <v>0</v>
      </c>
      <c r="S24" s="47">
        <f t="shared" si="11"/>
        <v>0</v>
      </c>
      <c r="T24" s="193">
        <f>SUM(H24:S24)</f>
        <v>737864.03</v>
      </c>
      <c r="U24" s="897"/>
    </row>
    <row r="25" spans="1:23" ht="39.75" customHeight="1" x14ac:dyDescent="0.25">
      <c r="A25" s="195">
        <v>150900</v>
      </c>
      <c r="B25" s="194">
        <v>58001</v>
      </c>
      <c r="C25" s="173"/>
      <c r="D25" s="874" t="s">
        <v>203</v>
      </c>
      <c r="E25" s="874" t="s">
        <v>204</v>
      </c>
      <c r="F25" s="898">
        <f>SUM(H25:S25)</f>
        <v>9521280</v>
      </c>
      <c r="G25" s="47" t="s">
        <v>52</v>
      </c>
      <c r="H25" s="47"/>
      <c r="I25" s="47">
        <f t="shared" ref="I25:S25" si="12">VLOOKUP($A25&amp;$B25&amp;I$10,Base,8,FALSE)</f>
        <v>0</v>
      </c>
      <c r="J25" s="47">
        <f t="shared" si="12"/>
        <v>0</v>
      </c>
      <c r="K25" s="47">
        <f t="shared" si="12"/>
        <v>0</v>
      </c>
      <c r="L25" s="47">
        <f t="shared" si="12"/>
        <v>0</v>
      </c>
      <c r="M25" s="47">
        <f t="shared" si="12"/>
        <v>0</v>
      </c>
      <c r="N25" s="47">
        <f t="shared" si="12"/>
        <v>4103998.35</v>
      </c>
      <c r="O25" s="47">
        <f t="shared" si="12"/>
        <v>683999.73</v>
      </c>
      <c r="P25" s="47">
        <f t="shared" si="12"/>
        <v>683999.73</v>
      </c>
      <c r="Q25" s="47">
        <f t="shared" si="12"/>
        <v>1668962.19</v>
      </c>
      <c r="R25" s="47">
        <f t="shared" si="12"/>
        <v>793440</v>
      </c>
      <c r="S25" s="47">
        <f t="shared" si="12"/>
        <v>1586880</v>
      </c>
      <c r="T25" s="193">
        <f ca="1">SUM($H25:(OFFSET($H25,0,AVANCE060826!$T$2)))</f>
        <v>7140960</v>
      </c>
      <c r="U25" s="196"/>
      <c r="W25" s="192"/>
    </row>
    <row r="26" spans="1:23" ht="39.75" customHeight="1" x14ac:dyDescent="0.25">
      <c r="A26" s="733">
        <v>150900</v>
      </c>
      <c r="B26" s="734">
        <v>58001</v>
      </c>
      <c r="C26" s="173"/>
      <c r="D26" s="874"/>
      <c r="E26" s="874"/>
      <c r="F26" s="898"/>
      <c r="G26" s="47" t="s">
        <v>53</v>
      </c>
      <c r="H26" s="47"/>
      <c r="I26" s="718">
        <f t="shared" ref="I26:S26" si="13">VLOOKUP($A26&amp;$B26&amp;I$10,Base,9,FALSE)</f>
        <v>0</v>
      </c>
      <c r="J26" s="718">
        <f t="shared" si="13"/>
        <v>0</v>
      </c>
      <c r="K26" s="718">
        <f t="shared" si="13"/>
        <v>0</v>
      </c>
      <c r="L26" s="718">
        <f t="shared" si="13"/>
        <v>0</v>
      </c>
      <c r="M26" s="718">
        <f t="shared" si="13"/>
        <v>0</v>
      </c>
      <c r="N26" s="718">
        <f t="shared" si="13"/>
        <v>4103998.35</v>
      </c>
      <c r="O26" s="47">
        <f t="shared" si="13"/>
        <v>683999.73</v>
      </c>
      <c r="P26" s="47">
        <f t="shared" si="13"/>
        <v>683999.73</v>
      </c>
      <c r="Q26" s="47">
        <f t="shared" si="13"/>
        <v>0</v>
      </c>
      <c r="R26" s="47">
        <f t="shared" si="13"/>
        <v>0</v>
      </c>
      <c r="S26" s="47">
        <f t="shared" si="13"/>
        <v>0</v>
      </c>
      <c r="T26" s="193">
        <f>SUM(H26:S26)</f>
        <v>5471997.8100000005</v>
      </c>
      <c r="U26" s="196"/>
      <c r="W26" s="192"/>
    </row>
    <row r="27" spans="1:23" x14ac:dyDescent="0.25">
      <c r="A27" s="40">
        <v>6</v>
      </c>
      <c r="B27" s="4"/>
      <c r="C27" s="24">
        <f>COUNT(C23:C26)</f>
        <v>0</v>
      </c>
      <c r="D27" s="7"/>
      <c r="E27" s="6"/>
      <c r="F27" s="197">
        <f>SUM(F13:F26)</f>
        <v>23746645</v>
      </c>
      <c r="G27" s="47" t="s">
        <v>52</v>
      </c>
      <c r="H27" s="176">
        <f>+H25+H23+H21++H19+H17+H15+H13</f>
        <v>0</v>
      </c>
      <c r="I27" s="176">
        <f t="shared" ref="I27:T27" si="14">+I25+I23+I21++I19+I17+I15+I13</f>
        <v>0</v>
      </c>
      <c r="J27" s="176">
        <f t="shared" si="14"/>
        <v>0</v>
      </c>
      <c r="K27" s="176">
        <f t="shared" si="14"/>
        <v>1829662.35</v>
      </c>
      <c r="L27" s="176">
        <f t="shared" si="14"/>
        <v>1262987.21</v>
      </c>
      <c r="M27" s="176">
        <f t="shared" si="14"/>
        <v>255582.62</v>
      </c>
      <c r="N27" s="176">
        <f t="shared" si="14"/>
        <v>7118048.1900000004</v>
      </c>
      <c r="O27" s="176">
        <f t="shared" si="14"/>
        <v>1929471.5099999998</v>
      </c>
      <c r="P27" s="176">
        <f t="shared" si="14"/>
        <v>1602921.63</v>
      </c>
      <c r="Q27" s="176">
        <f t="shared" si="14"/>
        <v>3811318.4899999998</v>
      </c>
      <c r="R27" s="176">
        <f t="shared" si="14"/>
        <v>1978888</v>
      </c>
      <c r="S27" s="176">
        <f t="shared" si="14"/>
        <v>3957765</v>
      </c>
      <c r="T27" s="176">
        <f t="shared" ca="1" si="14"/>
        <v>17809992</v>
      </c>
      <c r="U27" s="5"/>
    </row>
    <row r="28" spans="1:23" x14ac:dyDescent="0.25">
      <c r="A28" s="40"/>
      <c r="B28" s="4"/>
      <c r="C28" s="24">
        <f>COUNT(#REF!)</f>
        <v>0</v>
      </c>
      <c r="D28" s="7"/>
      <c r="E28" s="6"/>
      <c r="G28" s="47" t="s">
        <v>53</v>
      </c>
      <c r="H28" s="176">
        <f t="shared" ref="H28:S28" si="15">+H26+H24+H22++H20+H18+H16+H14</f>
        <v>0</v>
      </c>
      <c r="I28" s="176">
        <f t="shared" si="15"/>
        <v>0</v>
      </c>
      <c r="J28" s="176">
        <f t="shared" si="15"/>
        <v>0</v>
      </c>
      <c r="K28" s="176">
        <f t="shared" si="15"/>
        <v>1829662.35</v>
      </c>
      <c r="L28" s="176">
        <f t="shared" si="15"/>
        <v>1262987.21</v>
      </c>
      <c r="M28" s="176">
        <f t="shared" si="15"/>
        <v>255582.62</v>
      </c>
      <c r="N28" s="176">
        <f t="shared" si="15"/>
        <v>7118048.1900000004</v>
      </c>
      <c r="O28" s="176">
        <f t="shared" si="15"/>
        <v>1929471.5099999998</v>
      </c>
      <c r="P28" s="176">
        <f t="shared" si="15"/>
        <v>1602921.63</v>
      </c>
      <c r="Q28" s="176">
        <f t="shared" si="15"/>
        <v>163274.94</v>
      </c>
      <c r="R28" s="176">
        <f t="shared" si="15"/>
        <v>0</v>
      </c>
      <c r="S28" s="176">
        <f t="shared" si="15"/>
        <v>0</v>
      </c>
      <c r="T28" s="176">
        <f>+T26+T24+T22+T20+T18+T16+T14</f>
        <v>14161948.450000001</v>
      </c>
      <c r="U28" s="5"/>
    </row>
    <row r="29" spans="1:23" ht="31.5" customHeight="1" x14ac:dyDescent="0.25">
      <c r="T29" s="198"/>
      <c r="U29" s="857"/>
    </row>
    <row r="30" spans="1:23" ht="31.5" customHeight="1" x14ac:dyDescent="0.25">
      <c r="T30" s="198"/>
      <c r="U30" s="857"/>
    </row>
    <row r="31" spans="1:23" ht="31.5" customHeight="1" x14ac:dyDescent="0.25"/>
  </sheetData>
  <autoFilter ref="B12:B28"/>
  <mergeCells count="48">
    <mergeCell ref="C11:C12"/>
    <mergeCell ref="D11:D12"/>
    <mergeCell ref="E11:E12"/>
    <mergeCell ref="F11:F12"/>
    <mergeCell ref="M11:M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D13:D14"/>
    <mergeCell ref="E13:E14"/>
    <mergeCell ref="F13:F14"/>
    <mergeCell ref="N11:N12"/>
    <mergeCell ref="O11:O12"/>
    <mergeCell ref="U13:U14"/>
    <mergeCell ref="Q11:Q12"/>
    <mergeCell ref="R11:R12"/>
    <mergeCell ref="S11:S12"/>
    <mergeCell ref="T11:T12"/>
    <mergeCell ref="U15:U16"/>
    <mergeCell ref="D17:D18"/>
    <mergeCell ref="E17:E18"/>
    <mergeCell ref="F17:F18"/>
    <mergeCell ref="U17:U18"/>
    <mergeCell ref="D15:D16"/>
    <mergeCell ref="E15:E16"/>
    <mergeCell ref="F15:F16"/>
    <mergeCell ref="U19:U20"/>
    <mergeCell ref="D21:D22"/>
    <mergeCell ref="E21:E22"/>
    <mergeCell ref="F21:F22"/>
    <mergeCell ref="U21:U22"/>
    <mergeCell ref="D19:D20"/>
    <mergeCell ref="E19:E20"/>
    <mergeCell ref="F19:F20"/>
    <mergeCell ref="U29:U30"/>
    <mergeCell ref="U23:U24"/>
    <mergeCell ref="D25:D26"/>
    <mergeCell ref="E25:E26"/>
    <mergeCell ref="F25:F26"/>
    <mergeCell ref="D23:D24"/>
    <mergeCell ref="E23:E24"/>
    <mergeCell ref="F23:F24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8" orientation="landscape" r:id="rId1"/>
  <ignoredErrors>
    <ignoredError sqref="T14:T24" 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showGridLines="0" zoomScale="80" zoomScaleNormal="80" zoomScaleSheetLayoutView="85" zoomScalePageLayoutView="8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O12" sqref="O12:O16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20.42578125" customWidth="1"/>
    <col min="7" max="7" width="15" customWidth="1"/>
    <col min="8" max="8" width="19.140625" customWidth="1"/>
    <col min="9" max="9" width="16.7109375" customWidth="1"/>
    <col min="10" max="10" width="15.85546875" customWidth="1"/>
    <col min="11" max="11" width="14.28515625" hidden="1" customWidth="1"/>
    <col min="12" max="12" width="10.28515625" hidden="1" customWidth="1"/>
    <col min="13" max="13" width="47.140625" customWidth="1"/>
    <col min="14" max="14" width="1.14062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125</v>
      </c>
      <c r="H8" s="9"/>
      <c r="I8" s="9"/>
      <c r="L8" s="9"/>
      <c r="M8" s="192"/>
    </row>
    <row r="9" spans="1:13" ht="8.25" customHeight="1" thickBot="1" x14ac:dyDescent="0.3">
      <c r="D9" s="10"/>
    </row>
    <row r="10" spans="1:13" ht="18" customHeight="1" x14ac:dyDescent="0.25">
      <c r="A10" s="842" t="s">
        <v>18</v>
      </c>
      <c r="B10" s="843"/>
      <c r="C10" s="901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902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3" ht="68.25" customHeight="1" thickTop="1" x14ac:dyDescent="0.25">
      <c r="A12" s="227" t="s">
        <v>216</v>
      </c>
      <c r="B12" s="228">
        <v>800201</v>
      </c>
      <c r="C12" s="229" t="s">
        <v>217</v>
      </c>
      <c r="D12" s="240" t="s">
        <v>218</v>
      </c>
      <c r="E12" s="241" t="s">
        <v>219</v>
      </c>
      <c r="F12" s="230">
        <f>COL_Calendario!F13</f>
        <v>275091</v>
      </c>
      <c r="G12" s="230">
        <f>19762.3*1.16</f>
        <v>22924.267999999996</v>
      </c>
      <c r="H12" s="67">
        <f ca="1">COL_Calendario!T13</f>
        <v>206324.99999999997</v>
      </c>
      <c r="I12" s="67">
        <f>COL_Calendario!T14</f>
        <v>206318.42999999996</v>
      </c>
      <c r="J12" s="67">
        <f t="shared" ref="J12:J17" ca="1" si="0">H12-I12</f>
        <v>6.5700000000069849</v>
      </c>
      <c r="K12" s="67">
        <f t="shared" ref="K12:K17" ca="1" si="1">+J12/H12*100</f>
        <v>3.1842966194145089E-3</v>
      </c>
      <c r="L12" s="67">
        <f t="shared" ref="L12:L17" ca="1" si="2">+I12/H12*100</f>
        <v>99.996815703380577</v>
      </c>
      <c r="M12" s="242" t="s">
        <v>970</v>
      </c>
    </row>
    <row r="13" spans="1:13" ht="49.5" customHeight="1" x14ac:dyDescent="0.25">
      <c r="A13" s="132" t="s">
        <v>220</v>
      </c>
      <c r="B13" s="179">
        <v>900110</v>
      </c>
      <c r="C13" s="231" t="s">
        <v>221</v>
      </c>
      <c r="D13" s="240" t="s">
        <v>229</v>
      </c>
      <c r="E13" s="241" t="s">
        <v>190</v>
      </c>
      <c r="F13" s="230">
        <f>COL_Calendario!F15</f>
        <v>195096.72000000003</v>
      </c>
      <c r="G13" s="230">
        <v>16258.06</v>
      </c>
      <c r="H13" s="67">
        <f ca="1">COL_Calendario!T15</f>
        <v>146331.00000000003</v>
      </c>
      <c r="I13" s="67">
        <f>COL_Calendario!T16</f>
        <v>146322.37000000002</v>
      </c>
      <c r="J13" s="67">
        <f t="shared" ca="1" si="0"/>
        <v>8.6300000000046566</v>
      </c>
      <c r="K13" s="67">
        <f t="shared" ca="1" si="1"/>
        <v>5.8975883442364601E-3</v>
      </c>
      <c r="L13" s="67">
        <f t="shared" ca="1" si="2"/>
        <v>99.99410241165576</v>
      </c>
      <c r="M13" s="242" t="s">
        <v>970</v>
      </c>
    </row>
    <row r="14" spans="1:13" ht="62.25" customHeight="1" x14ac:dyDescent="0.25">
      <c r="A14" s="232" t="s">
        <v>223</v>
      </c>
      <c r="B14" s="179">
        <v>380200</v>
      </c>
      <c r="C14" s="234"/>
      <c r="D14" s="240" t="s">
        <v>224</v>
      </c>
      <c r="E14" s="243" t="s">
        <v>196</v>
      </c>
      <c r="F14" s="230">
        <f>COL_Calendario!F17</f>
        <v>695999.99999999988</v>
      </c>
      <c r="G14" s="230">
        <f>+F14/12</f>
        <v>57999.999999999993</v>
      </c>
      <c r="H14" s="67">
        <f ca="1">COL_Calendario!T17</f>
        <v>521999.99999999988</v>
      </c>
      <c r="I14" s="67">
        <f>COL_Calendario!T18</f>
        <v>521999.72999999986</v>
      </c>
      <c r="J14" s="67">
        <f t="shared" ca="1" si="0"/>
        <v>0.27000000001862645</v>
      </c>
      <c r="K14" s="67">
        <f t="shared" ca="1" si="1"/>
        <v>5.1724137934602787E-5</v>
      </c>
      <c r="L14" s="67">
        <f t="shared" ca="1" si="2"/>
        <v>99.999948275862067</v>
      </c>
      <c r="M14" s="242" t="s">
        <v>970</v>
      </c>
    </row>
    <row r="15" spans="1:13" ht="62.25" customHeight="1" x14ac:dyDescent="0.25">
      <c r="A15" s="211" t="s">
        <v>230</v>
      </c>
      <c r="B15" s="195">
        <v>150900</v>
      </c>
      <c r="C15" s="246"/>
      <c r="D15" s="240" t="s">
        <v>225</v>
      </c>
      <c r="E15" s="243" t="s">
        <v>226</v>
      </c>
      <c r="F15" s="230">
        <f>COL_Calendario!F19</f>
        <v>1183200</v>
      </c>
      <c r="G15" s="230">
        <v>98600</v>
      </c>
      <c r="H15" s="67">
        <f ca="1">COL_Calendario!T19</f>
        <v>887400</v>
      </c>
      <c r="I15" s="67">
        <f>COL_Calendario!T20</f>
        <v>887399.91</v>
      </c>
      <c r="J15" s="67">
        <f t="shared" ca="1" si="0"/>
        <v>8.999999996740371E-2</v>
      </c>
      <c r="K15" s="67">
        <f t="shared" ca="1" si="1"/>
        <v>1.0141987825941369E-5</v>
      </c>
      <c r="L15" s="67">
        <f t="shared" ca="1" si="2"/>
        <v>99.999989858012171</v>
      </c>
      <c r="M15" s="242" t="s">
        <v>970</v>
      </c>
    </row>
    <row r="16" spans="1:13" ht="66.75" customHeight="1" thickBot="1" x14ac:dyDescent="0.3">
      <c r="A16" s="247" t="s">
        <v>227</v>
      </c>
      <c r="B16" s="248" t="s">
        <v>37</v>
      </c>
      <c r="C16" s="229" t="s">
        <v>217</v>
      </c>
      <c r="D16" s="143" t="s">
        <v>231</v>
      </c>
      <c r="E16" s="207" t="s">
        <v>180</v>
      </c>
      <c r="F16" s="230">
        <f>COL_Calendario!F21</f>
        <v>249600</v>
      </c>
      <c r="G16" s="249">
        <v>20800</v>
      </c>
      <c r="H16" s="67">
        <f ca="1">COL_Calendario!T21</f>
        <v>187200</v>
      </c>
      <c r="I16" s="67">
        <f>COL_Calendario!T22</f>
        <v>187200</v>
      </c>
      <c r="J16" s="68">
        <f t="shared" ca="1" si="0"/>
        <v>0</v>
      </c>
      <c r="K16" s="68">
        <f t="shared" ca="1" si="1"/>
        <v>0</v>
      </c>
      <c r="L16" s="68">
        <f t="shared" ca="1" si="2"/>
        <v>100</v>
      </c>
      <c r="M16" s="242" t="s">
        <v>970</v>
      </c>
    </row>
    <row r="17" spans="1:17" ht="15.75" thickBot="1" x14ac:dyDescent="0.3">
      <c r="A17" s="4"/>
      <c r="B17" s="40">
        <v>5</v>
      </c>
      <c r="C17" s="24">
        <f>COUNT(#REF!)</f>
        <v>0</v>
      </c>
      <c r="D17" s="7"/>
      <c r="E17" s="6"/>
      <c r="F17" s="32">
        <f>SUM(F12:F16)</f>
        <v>2598987.7199999997</v>
      </c>
      <c r="G17" s="32">
        <f>SUM(G12:G16)</f>
        <v>216582.32799999998</v>
      </c>
      <c r="H17" s="215">
        <f ca="1">SUM(H12:H16)</f>
        <v>1949256</v>
      </c>
      <c r="I17" s="32">
        <f>SUM(I12:I16)</f>
        <v>1949240.44</v>
      </c>
      <c r="J17" s="32">
        <f t="shared" ca="1" si="0"/>
        <v>15.560000000055879</v>
      </c>
      <c r="K17" s="150">
        <f t="shared" ca="1" si="1"/>
        <v>7.9825328228082292E-4</v>
      </c>
      <c r="L17" s="151">
        <f t="shared" ca="1" si="2"/>
        <v>99.999201746717716</v>
      </c>
      <c r="M17" s="5"/>
      <c r="O17" s="9"/>
    </row>
    <row r="18" spans="1:17" ht="6.75" customHeight="1" x14ac:dyDescent="0.25">
      <c r="F18" s="3"/>
      <c r="G18" s="3"/>
      <c r="H18" s="2"/>
      <c r="I18" s="2"/>
      <c r="J18" s="2"/>
      <c r="K18" s="2"/>
      <c r="L18" s="2"/>
      <c r="M18" s="857"/>
      <c r="O18" s="9"/>
    </row>
    <row r="19" spans="1:17" ht="31.5" customHeight="1" x14ac:dyDescent="0.25">
      <c r="H19" s="2"/>
      <c r="I19" s="2"/>
      <c r="J19" s="2"/>
      <c r="K19" s="2"/>
      <c r="L19" s="2"/>
      <c r="M19" s="857"/>
      <c r="O19" s="9"/>
      <c r="P19" s="9"/>
      <c r="Q19" s="9"/>
    </row>
    <row r="20" spans="1:17" ht="31.5" customHeight="1" x14ac:dyDescent="0.25"/>
    <row r="22" spans="1:17" x14ac:dyDescent="0.25">
      <c r="Q22" s="9"/>
    </row>
  </sheetData>
  <mergeCells count="12">
    <mergeCell ref="M10:M11"/>
    <mergeCell ref="M18:M19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3" fitToHeight="2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view="pageBreakPreview" zoomScale="85" zoomScaleNormal="100" zoomScaleSheetLayoutView="85" zoomScalePageLayoutView="80" workbookViewId="0">
      <pane xSplit="6" ySplit="12" topLeftCell="Q13" activePane="bottomRight" state="frozen"/>
      <selection pane="topRight" activeCell="G1" sqref="G1"/>
      <selection pane="bottomLeft" activeCell="A12" sqref="A12"/>
      <selection pane="bottomRight" activeCell="U1" sqref="U1:W1048576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5" customWidth="1"/>
    <col min="20" max="20" width="19.140625" customWidth="1"/>
    <col min="21" max="21" width="42.28515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125</v>
      </c>
      <c r="T8" s="9"/>
    </row>
    <row r="9" spans="1:21" ht="18.75" thickBot="1" x14ac:dyDescent="0.3">
      <c r="D9" s="39"/>
      <c r="E9" s="10"/>
      <c r="T9" s="9"/>
    </row>
    <row r="10" spans="1:21" ht="18.75" hidden="1" thickBot="1" x14ac:dyDescent="0.3">
      <c r="D10" s="10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905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906"/>
      <c r="U12" s="877"/>
    </row>
    <row r="13" spans="1:21" ht="36.75" customHeight="1" thickTop="1" thickBot="1" x14ac:dyDescent="0.3">
      <c r="A13" s="228">
        <v>800201</v>
      </c>
      <c r="B13" s="227">
        <v>65801</v>
      </c>
      <c r="C13" s="229" t="s">
        <v>217</v>
      </c>
      <c r="D13" s="873" t="s">
        <v>218</v>
      </c>
      <c r="E13" s="874" t="s">
        <v>219</v>
      </c>
      <c r="F13" s="904">
        <f>SUM(H13:S13)</f>
        <v>275091</v>
      </c>
      <c r="G13" s="230" t="s">
        <v>52</v>
      </c>
      <c r="H13" s="230"/>
      <c r="I13" s="230">
        <f t="shared" ref="I13:S13" si="0">VLOOKUP($A13&amp;$B13&amp;I$10,Base,8,FALSE)</f>
        <v>22924.27</v>
      </c>
      <c r="J13" s="230">
        <f t="shared" si="0"/>
        <v>22924.27</v>
      </c>
      <c r="K13" s="230">
        <f t="shared" si="0"/>
        <v>22924.27</v>
      </c>
      <c r="L13" s="230">
        <f t="shared" si="0"/>
        <v>22924.27</v>
      </c>
      <c r="M13" s="230">
        <f t="shared" si="0"/>
        <v>22924.27</v>
      </c>
      <c r="N13" s="230">
        <f t="shared" si="0"/>
        <v>22924.27</v>
      </c>
      <c r="O13" s="230">
        <f t="shared" si="0"/>
        <v>22924.27</v>
      </c>
      <c r="P13" s="230">
        <f t="shared" si="0"/>
        <v>22924.27</v>
      </c>
      <c r="Q13" s="230">
        <f t="shared" si="0"/>
        <v>22930.84</v>
      </c>
      <c r="R13" s="230">
        <f t="shared" si="0"/>
        <v>22925</v>
      </c>
      <c r="S13" s="230">
        <f t="shared" si="0"/>
        <v>45841</v>
      </c>
      <c r="T13" s="193">
        <f ca="1">SUM($H13:(OFFSET($H13,0,AVANCE060826!$T$2)))</f>
        <v>206324.99999999997</v>
      </c>
      <c r="U13" s="903"/>
    </row>
    <row r="14" spans="1:21" ht="36.75" customHeight="1" thickTop="1" x14ac:dyDescent="0.25">
      <c r="A14" s="228">
        <v>800201</v>
      </c>
      <c r="B14" s="227">
        <v>65801</v>
      </c>
      <c r="C14" s="229"/>
      <c r="D14" s="873"/>
      <c r="E14" s="874"/>
      <c r="F14" s="904"/>
      <c r="G14" s="230" t="s">
        <v>53</v>
      </c>
      <c r="H14" s="230"/>
      <c r="I14" s="230">
        <f t="shared" ref="I14:S14" si="1">VLOOKUP($A14&amp;$B14&amp;I$10,Base,9,FALSE)</f>
        <v>22924.27</v>
      </c>
      <c r="J14" s="230">
        <f t="shared" si="1"/>
        <v>22924.27</v>
      </c>
      <c r="K14" s="230">
        <f t="shared" si="1"/>
        <v>22924.27</v>
      </c>
      <c r="L14" s="230">
        <f t="shared" si="1"/>
        <v>22924.27</v>
      </c>
      <c r="M14" s="230">
        <f t="shared" si="1"/>
        <v>22924.27</v>
      </c>
      <c r="N14" s="230">
        <f t="shared" si="1"/>
        <v>22924.27</v>
      </c>
      <c r="O14" s="230">
        <f t="shared" si="1"/>
        <v>22924.27</v>
      </c>
      <c r="P14" s="230">
        <f t="shared" si="1"/>
        <v>22924.27</v>
      </c>
      <c r="Q14" s="230">
        <f t="shared" si="1"/>
        <v>22924.27</v>
      </c>
      <c r="R14" s="230">
        <f t="shared" si="1"/>
        <v>0</v>
      </c>
      <c r="S14" s="230">
        <f t="shared" si="1"/>
        <v>0</v>
      </c>
      <c r="T14" s="193">
        <f t="shared" ref="T14:T22" si="2">SUM(H14:S14)</f>
        <v>206318.42999999996</v>
      </c>
      <c r="U14" s="903"/>
    </row>
    <row r="15" spans="1:21" ht="36.75" customHeight="1" x14ac:dyDescent="0.25">
      <c r="A15" s="179">
        <v>900110</v>
      </c>
      <c r="B15" s="132">
        <v>69103</v>
      </c>
      <c r="C15" s="231" t="s">
        <v>221</v>
      </c>
      <c r="D15" s="873" t="s">
        <v>222</v>
      </c>
      <c r="E15" s="874" t="s">
        <v>190</v>
      </c>
      <c r="F15" s="904">
        <f>SUM(H15:S15)</f>
        <v>195096.72000000003</v>
      </c>
      <c r="G15" s="230" t="s">
        <v>52</v>
      </c>
      <c r="H15" s="230"/>
      <c r="I15" s="230">
        <f t="shared" ref="I15:S15" si="3">VLOOKUP($A15&amp;$B15&amp;I$10,Base,8,FALSE)</f>
        <v>16258.04</v>
      </c>
      <c r="J15" s="230">
        <f t="shared" si="3"/>
        <v>16258.04</v>
      </c>
      <c r="K15" s="230">
        <f t="shared" si="3"/>
        <v>16258.04</v>
      </c>
      <c r="L15" s="230">
        <f t="shared" si="3"/>
        <v>0</v>
      </c>
      <c r="M15" s="230">
        <f t="shared" si="3"/>
        <v>0</v>
      </c>
      <c r="N15" s="230">
        <f t="shared" si="3"/>
        <v>48774.13</v>
      </c>
      <c r="O15" s="230">
        <f t="shared" si="3"/>
        <v>16258.04</v>
      </c>
      <c r="P15" s="230">
        <f t="shared" si="3"/>
        <v>16258.04</v>
      </c>
      <c r="Q15" s="230">
        <f t="shared" si="3"/>
        <v>16266.67</v>
      </c>
      <c r="R15" s="230">
        <f t="shared" si="3"/>
        <v>16259</v>
      </c>
      <c r="S15" s="230">
        <f t="shared" si="3"/>
        <v>32506.720000000001</v>
      </c>
      <c r="T15" s="193">
        <f ca="1">SUM($H15:(OFFSET($H15,0,AVANCE060826!$T$2)))</f>
        <v>146331.00000000003</v>
      </c>
      <c r="U15" s="903"/>
    </row>
    <row r="16" spans="1:21" ht="36.75" customHeight="1" x14ac:dyDescent="0.25">
      <c r="A16" s="179">
        <v>900110</v>
      </c>
      <c r="B16" s="132">
        <v>69103</v>
      </c>
      <c r="C16" s="233"/>
      <c r="D16" s="873"/>
      <c r="E16" s="874"/>
      <c r="F16" s="904"/>
      <c r="G16" s="230" t="s">
        <v>53</v>
      </c>
      <c r="H16" s="230"/>
      <c r="I16" s="230">
        <f t="shared" ref="I16:S16" si="4">VLOOKUP($A16&amp;$B16&amp;I$10,Base,9,FALSE)</f>
        <v>16258.04</v>
      </c>
      <c r="J16" s="230">
        <f t="shared" si="4"/>
        <v>16258.04</v>
      </c>
      <c r="K16" s="230">
        <f t="shared" si="4"/>
        <v>16258.04</v>
      </c>
      <c r="L16" s="230">
        <f t="shared" si="4"/>
        <v>0</v>
      </c>
      <c r="M16" s="230">
        <f t="shared" si="4"/>
        <v>0</v>
      </c>
      <c r="N16" s="230">
        <f t="shared" si="4"/>
        <v>48774.13</v>
      </c>
      <c r="O16" s="230">
        <f t="shared" si="4"/>
        <v>16258.04</v>
      </c>
      <c r="P16" s="230">
        <f t="shared" si="4"/>
        <v>16258.04</v>
      </c>
      <c r="Q16" s="230">
        <f t="shared" si="4"/>
        <v>16258.04</v>
      </c>
      <c r="R16" s="230">
        <f t="shared" si="4"/>
        <v>0</v>
      </c>
      <c r="S16" s="230">
        <f t="shared" si="4"/>
        <v>0</v>
      </c>
      <c r="T16" s="193">
        <f t="shared" si="2"/>
        <v>146322.37000000002</v>
      </c>
      <c r="U16" s="903"/>
    </row>
    <row r="17" spans="1:21" ht="36.75" customHeight="1" x14ac:dyDescent="0.25">
      <c r="A17" s="179">
        <v>380200</v>
      </c>
      <c r="B17" s="232">
        <v>65901</v>
      </c>
      <c r="C17" s="234"/>
      <c r="D17" s="873" t="s">
        <v>224</v>
      </c>
      <c r="E17" s="873" t="s">
        <v>196</v>
      </c>
      <c r="F17" s="904">
        <f>SUM(H17:S17)</f>
        <v>695999.99999999988</v>
      </c>
      <c r="G17" s="230" t="s">
        <v>52</v>
      </c>
      <c r="H17" s="230"/>
      <c r="I17" s="230">
        <f t="shared" ref="I17:S17" si="5">VLOOKUP($A17&amp;$B17&amp;I$10,Base,8,FALSE)</f>
        <v>57999.97</v>
      </c>
      <c r="J17" s="230">
        <f t="shared" si="5"/>
        <v>57999.97</v>
      </c>
      <c r="K17" s="230">
        <f t="shared" si="5"/>
        <v>57999.97</v>
      </c>
      <c r="L17" s="230">
        <f t="shared" si="5"/>
        <v>57999.97</v>
      </c>
      <c r="M17" s="230">
        <f t="shared" si="5"/>
        <v>57999.97</v>
      </c>
      <c r="N17" s="230">
        <f t="shared" si="5"/>
        <v>57999.97</v>
      </c>
      <c r="O17" s="230">
        <f t="shared" si="5"/>
        <v>57999.97</v>
      </c>
      <c r="P17" s="230">
        <f t="shared" si="5"/>
        <v>57999.97</v>
      </c>
      <c r="Q17" s="230">
        <f t="shared" si="5"/>
        <v>58000.24</v>
      </c>
      <c r="R17" s="230">
        <f t="shared" si="5"/>
        <v>58000</v>
      </c>
      <c r="S17" s="230">
        <f t="shared" si="5"/>
        <v>116000</v>
      </c>
      <c r="T17" s="193">
        <f ca="1">SUM($H17:(OFFSET($H17,0,AVANCE060826!$T$2)))</f>
        <v>521999.99999999988</v>
      </c>
      <c r="U17" s="903"/>
    </row>
    <row r="18" spans="1:21" ht="36.75" customHeight="1" x14ac:dyDescent="0.25">
      <c r="A18" s="179">
        <v>380200</v>
      </c>
      <c r="B18" s="232">
        <v>65901</v>
      </c>
      <c r="C18" s="234"/>
      <c r="D18" s="873"/>
      <c r="E18" s="873"/>
      <c r="F18" s="904"/>
      <c r="G18" s="230" t="s">
        <v>53</v>
      </c>
      <c r="H18" s="230"/>
      <c r="I18" s="230">
        <f t="shared" ref="I18:S18" si="6">VLOOKUP($A18&amp;$B18&amp;I$10,Base,9,FALSE)</f>
        <v>57999.97</v>
      </c>
      <c r="J18" s="230">
        <f t="shared" si="6"/>
        <v>57999.97</v>
      </c>
      <c r="K18" s="230">
        <f t="shared" si="6"/>
        <v>57999.97</v>
      </c>
      <c r="L18" s="230">
        <f t="shared" si="6"/>
        <v>57999.97</v>
      </c>
      <c r="M18" s="230">
        <f t="shared" si="6"/>
        <v>57999.97</v>
      </c>
      <c r="N18" s="230">
        <f t="shared" si="6"/>
        <v>57999.97</v>
      </c>
      <c r="O18" s="230">
        <f t="shared" si="6"/>
        <v>57999.97</v>
      </c>
      <c r="P18" s="230">
        <f t="shared" si="6"/>
        <v>57999.97</v>
      </c>
      <c r="Q18" s="230">
        <f t="shared" si="6"/>
        <v>57999.97</v>
      </c>
      <c r="R18" s="230">
        <f t="shared" si="6"/>
        <v>0</v>
      </c>
      <c r="S18" s="230">
        <f t="shared" si="6"/>
        <v>0</v>
      </c>
      <c r="T18" s="193">
        <f t="shared" si="2"/>
        <v>521999.72999999986</v>
      </c>
      <c r="U18" s="903"/>
    </row>
    <row r="19" spans="1:21" ht="36.75" customHeight="1" x14ac:dyDescent="0.25">
      <c r="A19" s="132">
        <v>150900</v>
      </c>
      <c r="B19" s="232">
        <v>68003</v>
      </c>
      <c r="C19" s="229" t="s">
        <v>217</v>
      </c>
      <c r="D19" s="873" t="s">
        <v>225</v>
      </c>
      <c r="E19" s="874" t="s">
        <v>226</v>
      </c>
      <c r="F19" s="904">
        <f>SUM(H19:S19)</f>
        <v>1183200</v>
      </c>
      <c r="G19" s="230" t="s">
        <v>52</v>
      </c>
      <c r="H19" s="230"/>
      <c r="I19" s="230">
        <f t="shared" ref="I19:S19" si="7">VLOOKUP($A19&amp;$B19&amp;I$10,Base,8,FALSE)</f>
        <v>98599.99</v>
      </c>
      <c r="J19" s="230">
        <f t="shared" si="7"/>
        <v>98599.99</v>
      </c>
      <c r="K19" s="230">
        <f t="shared" si="7"/>
        <v>98599.99</v>
      </c>
      <c r="L19" s="230">
        <f t="shared" si="7"/>
        <v>98599.99</v>
      </c>
      <c r="M19" s="230">
        <f t="shared" si="7"/>
        <v>98599.99</v>
      </c>
      <c r="N19" s="230">
        <f t="shared" si="7"/>
        <v>98599.99</v>
      </c>
      <c r="O19" s="230">
        <f t="shared" si="7"/>
        <v>98599.99</v>
      </c>
      <c r="P19" s="230">
        <f t="shared" si="7"/>
        <v>98599.99</v>
      </c>
      <c r="Q19" s="230">
        <f t="shared" si="7"/>
        <v>98600.08</v>
      </c>
      <c r="R19" s="230">
        <f t="shared" si="7"/>
        <v>98600</v>
      </c>
      <c r="S19" s="230">
        <f t="shared" si="7"/>
        <v>197200</v>
      </c>
      <c r="T19" s="193">
        <f ca="1">SUM($H19:(OFFSET($H19,0,AVANCE060826!$T$2)))</f>
        <v>887400</v>
      </c>
      <c r="U19" s="235"/>
    </row>
    <row r="20" spans="1:21" ht="36.75" customHeight="1" x14ac:dyDescent="0.25">
      <c r="A20" s="132">
        <v>150900</v>
      </c>
      <c r="B20" s="232">
        <v>68003</v>
      </c>
      <c r="C20" s="40"/>
      <c r="D20" s="873"/>
      <c r="E20" s="874"/>
      <c r="F20" s="904"/>
      <c r="G20" s="230" t="s">
        <v>53</v>
      </c>
      <c r="H20" s="230"/>
      <c r="I20" s="230">
        <f t="shared" ref="I20:S20" si="8">VLOOKUP($A20&amp;$B20&amp;I$10,Base,9,FALSE)</f>
        <v>98599.99</v>
      </c>
      <c r="J20" s="230">
        <f t="shared" si="8"/>
        <v>98599.99</v>
      </c>
      <c r="K20" s="230">
        <f t="shared" si="8"/>
        <v>98599.99</v>
      </c>
      <c r="L20" s="230">
        <f t="shared" si="8"/>
        <v>98599.99</v>
      </c>
      <c r="M20" s="230">
        <f t="shared" si="8"/>
        <v>98599.99</v>
      </c>
      <c r="N20" s="230">
        <f t="shared" si="8"/>
        <v>98599.99</v>
      </c>
      <c r="O20" s="230">
        <f t="shared" si="8"/>
        <v>98599.99</v>
      </c>
      <c r="P20" s="230">
        <f t="shared" si="8"/>
        <v>98599.99</v>
      </c>
      <c r="Q20" s="230">
        <f t="shared" si="8"/>
        <v>98599.99</v>
      </c>
      <c r="R20" s="230">
        <f t="shared" si="8"/>
        <v>0</v>
      </c>
      <c r="S20" s="230">
        <f t="shared" si="8"/>
        <v>0</v>
      </c>
      <c r="T20" s="193">
        <f t="shared" si="2"/>
        <v>887399.91</v>
      </c>
      <c r="U20" s="235"/>
    </row>
    <row r="21" spans="1:21" ht="36.75" customHeight="1" x14ac:dyDescent="0.25">
      <c r="A21" s="132">
        <v>50100</v>
      </c>
      <c r="B21" s="232">
        <v>69001</v>
      </c>
      <c r="C21" s="229" t="s">
        <v>217</v>
      </c>
      <c r="D21" s="873" t="s">
        <v>228</v>
      </c>
      <c r="E21" s="874" t="s">
        <v>180</v>
      </c>
      <c r="F21" s="904">
        <f>SUM(H21:S21)</f>
        <v>249600</v>
      </c>
      <c r="G21" s="230" t="s">
        <v>52</v>
      </c>
      <c r="H21" s="230"/>
      <c r="I21" s="230">
        <f t="shared" ref="I21:S21" si="9">VLOOKUP($A21&amp;$B21&amp;I$10,Base,8,FALSE)</f>
        <v>20800</v>
      </c>
      <c r="J21" s="230">
        <f t="shared" si="9"/>
        <v>20800</v>
      </c>
      <c r="K21" s="230">
        <f t="shared" si="9"/>
        <v>20800</v>
      </c>
      <c r="L21" s="230">
        <f t="shared" si="9"/>
        <v>20800</v>
      </c>
      <c r="M21" s="230">
        <f t="shared" si="9"/>
        <v>20800</v>
      </c>
      <c r="N21" s="230">
        <f t="shared" si="9"/>
        <v>20800</v>
      </c>
      <c r="O21" s="230">
        <f t="shared" si="9"/>
        <v>20800</v>
      </c>
      <c r="P21" s="230">
        <f t="shared" si="9"/>
        <v>20800</v>
      </c>
      <c r="Q21" s="230">
        <f t="shared" si="9"/>
        <v>20800</v>
      </c>
      <c r="R21" s="230">
        <f t="shared" si="9"/>
        <v>20800</v>
      </c>
      <c r="S21" s="230">
        <f t="shared" si="9"/>
        <v>41600</v>
      </c>
      <c r="T21" s="193">
        <f ca="1">SUM($H21:(OFFSET($H21,0,AVANCE060826!$T$2)))</f>
        <v>187200</v>
      </c>
      <c r="U21" s="903"/>
    </row>
    <row r="22" spans="1:21" ht="36.75" customHeight="1" x14ac:dyDescent="0.25">
      <c r="A22" s="132">
        <v>50100</v>
      </c>
      <c r="B22" s="232">
        <v>69001</v>
      </c>
      <c r="C22" s="40"/>
      <c r="D22" s="873"/>
      <c r="E22" s="874"/>
      <c r="F22" s="904"/>
      <c r="G22" s="230" t="s">
        <v>53</v>
      </c>
      <c r="H22" s="230"/>
      <c r="I22" s="230">
        <f t="shared" ref="I22:S22" si="10">VLOOKUP($A22&amp;$B22&amp;I$10,Base,9,FALSE)</f>
        <v>20800</v>
      </c>
      <c r="J22" s="230">
        <f t="shared" si="10"/>
        <v>20800</v>
      </c>
      <c r="K22" s="230">
        <f t="shared" si="10"/>
        <v>20800</v>
      </c>
      <c r="L22" s="230">
        <f t="shared" si="10"/>
        <v>20800</v>
      </c>
      <c r="M22" s="230">
        <f t="shared" si="10"/>
        <v>20800</v>
      </c>
      <c r="N22" s="230">
        <f t="shared" si="10"/>
        <v>20800</v>
      </c>
      <c r="O22" s="230">
        <f t="shared" si="10"/>
        <v>20800</v>
      </c>
      <c r="P22" s="230">
        <f t="shared" si="10"/>
        <v>20800</v>
      </c>
      <c r="Q22" s="230">
        <f t="shared" si="10"/>
        <v>20800</v>
      </c>
      <c r="R22" s="230">
        <f t="shared" si="10"/>
        <v>0</v>
      </c>
      <c r="S22" s="230">
        <f t="shared" si="10"/>
        <v>0</v>
      </c>
      <c r="T22" s="193">
        <f t="shared" si="2"/>
        <v>187200</v>
      </c>
      <c r="U22" s="903"/>
    </row>
    <row r="23" spans="1:21" ht="15.75" thickBot="1" x14ac:dyDescent="0.3">
      <c r="A23" s="40">
        <v>5</v>
      </c>
      <c r="B23" s="4"/>
      <c r="C23" s="24">
        <f>COUNT(#REF!)</f>
        <v>0</v>
      </c>
      <c r="D23" s="7"/>
      <c r="E23" s="6"/>
      <c r="F23" s="32">
        <f>SUM(F13:F21)</f>
        <v>2598987.7199999997</v>
      </c>
      <c r="G23" s="230" t="s">
        <v>52</v>
      </c>
      <c r="H23" s="176">
        <f>+H21+H17+H15+H13+H19</f>
        <v>0</v>
      </c>
      <c r="I23" s="176">
        <f t="shared" ref="I23:S24" si="11">+I21+I17+I15+I13+I19</f>
        <v>216582.27000000002</v>
      </c>
      <c r="J23" s="176">
        <f t="shared" si="11"/>
        <v>216582.27000000002</v>
      </c>
      <c r="K23" s="176">
        <f t="shared" si="11"/>
        <v>216582.27000000002</v>
      </c>
      <c r="L23" s="176">
        <f t="shared" si="11"/>
        <v>200324.23</v>
      </c>
      <c r="M23" s="176">
        <f t="shared" ref="M23:S23" si="12">+M21+M17+M15+M13</f>
        <v>101724.24</v>
      </c>
      <c r="N23" s="176">
        <f t="shared" si="12"/>
        <v>150498.37</v>
      </c>
      <c r="O23" s="176">
        <f t="shared" si="12"/>
        <v>117982.28000000001</v>
      </c>
      <c r="P23" s="176">
        <f t="shared" si="12"/>
        <v>117982.28000000001</v>
      </c>
      <c r="Q23" s="176">
        <f t="shared" si="12"/>
        <v>117997.74999999999</v>
      </c>
      <c r="R23" s="176">
        <f t="shared" si="12"/>
        <v>117984</v>
      </c>
      <c r="S23" s="176">
        <f t="shared" si="12"/>
        <v>235947.72</v>
      </c>
      <c r="T23" s="193">
        <f ca="1">+T13+T15+T19+T21+T17</f>
        <v>1949256</v>
      </c>
      <c r="U23" s="5"/>
    </row>
    <row r="24" spans="1:21" ht="31.5" customHeight="1" x14ac:dyDescent="0.25">
      <c r="F24" s="3"/>
      <c r="G24" s="230" t="s">
        <v>53</v>
      </c>
      <c r="H24" s="238"/>
      <c r="I24" s="238">
        <f>+I22+I18+I16+I14+I20</f>
        <v>216582.27000000002</v>
      </c>
      <c r="J24" s="238">
        <f t="shared" si="11"/>
        <v>216582.27000000002</v>
      </c>
      <c r="K24" s="238">
        <f t="shared" si="11"/>
        <v>216582.27000000002</v>
      </c>
      <c r="L24" s="238">
        <f t="shared" si="11"/>
        <v>200324.23</v>
      </c>
      <c r="M24" s="238">
        <f t="shared" si="11"/>
        <v>200324.23</v>
      </c>
      <c r="N24" s="238">
        <f t="shared" si="11"/>
        <v>249098.36</v>
      </c>
      <c r="O24" s="238">
        <f t="shared" si="11"/>
        <v>216582.27000000002</v>
      </c>
      <c r="P24" s="238">
        <f t="shared" si="11"/>
        <v>216582.27000000002</v>
      </c>
      <c r="Q24" s="238">
        <f t="shared" si="11"/>
        <v>216582.27000000002</v>
      </c>
      <c r="R24" s="238">
        <f t="shared" si="11"/>
        <v>0</v>
      </c>
      <c r="S24" s="238">
        <f t="shared" si="11"/>
        <v>0</v>
      </c>
      <c r="T24" s="193">
        <f>+T14+T16+T18+T20+T22</f>
        <v>1949240.44</v>
      </c>
      <c r="U24" s="857"/>
    </row>
    <row r="25" spans="1:21" ht="31.5" customHeight="1" x14ac:dyDescent="0.25">
      <c r="T25" s="2"/>
      <c r="U25" s="857"/>
    </row>
    <row r="26" spans="1:21" ht="31.5" customHeight="1" x14ac:dyDescent="0.25"/>
    <row r="29" spans="1:21" x14ac:dyDescent="0.25">
      <c r="N29" s="9"/>
      <c r="P29" s="9"/>
    </row>
    <row r="30" spans="1:21" x14ac:dyDescent="0.25">
      <c r="N30" s="9"/>
      <c r="P30" s="9"/>
    </row>
    <row r="31" spans="1:21" x14ac:dyDescent="0.25">
      <c r="N31" s="9"/>
      <c r="P31" s="9"/>
    </row>
    <row r="32" spans="1:21" x14ac:dyDescent="0.25">
      <c r="N32" s="9"/>
      <c r="P32" s="9"/>
    </row>
    <row r="33" spans="14:17" x14ac:dyDescent="0.25">
      <c r="N33" s="9"/>
      <c r="P33" s="9"/>
    </row>
    <row r="34" spans="14:17" x14ac:dyDescent="0.25">
      <c r="N34" s="9"/>
      <c r="P34" s="9"/>
    </row>
    <row r="35" spans="14:17" x14ac:dyDescent="0.25">
      <c r="N35" s="9"/>
      <c r="P35" s="9"/>
    </row>
    <row r="36" spans="14:17" x14ac:dyDescent="0.25">
      <c r="N36" s="9"/>
      <c r="P36" s="9"/>
    </row>
    <row r="37" spans="14:17" x14ac:dyDescent="0.25">
      <c r="N37" s="9"/>
      <c r="P37" s="9"/>
    </row>
    <row r="38" spans="14:17" x14ac:dyDescent="0.25">
      <c r="N38" s="9"/>
      <c r="P38" s="9"/>
    </row>
    <row r="39" spans="14:17" x14ac:dyDescent="0.25">
      <c r="N39" s="9"/>
      <c r="P39" s="9"/>
    </row>
    <row r="40" spans="14:17" x14ac:dyDescent="0.25">
      <c r="N40" s="9"/>
      <c r="P40" s="9"/>
    </row>
    <row r="41" spans="14:17" x14ac:dyDescent="0.25">
      <c r="N41" s="9"/>
      <c r="O41" s="9"/>
      <c r="P41" s="9"/>
      <c r="Q41" s="9"/>
    </row>
  </sheetData>
  <mergeCells count="40">
    <mergeCell ref="C11:C12"/>
    <mergeCell ref="D11:D12"/>
    <mergeCell ref="E11:E12"/>
    <mergeCell ref="F11:F12"/>
    <mergeCell ref="M11:M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D13:D14"/>
    <mergeCell ref="E13:E14"/>
    <mergeCell ref="F13:F14"/>
    <mergeCell ref="N11:N12"/>
    <mergeCell ref="O11:O12"/>
    <mergeCell ref="U13:U14"/>
    <mergeCell ref="Q11:Q12"/>
    <mergeCell ref="R11:R12"/>
    <mergeCell ref="S11:S12"/>
    <mergeCell ref="T11:T12"/>
    <mergeCell ref="U15:U16"/>
    <mergeCell ref="D17:D18"/>
    <mergeCell ref="E17:E18"/>
    <mergeCell ref="F17:F18"/>
    <mergeCell ref="U17:U18"/>
    <mergeCell ref="D15:D16"/>
    <mergeCell ref="E15:E16"/>
    <mergeCell ref="F15:F16"/>
    <mergeCell ref="U21:U22"/>
    <mergeCell ref="U24:U25"/>
    <mergeCell ref="E19:E20"/>
    <mergeCell ref="F19:F20"/>
    <mergeCell ref="D21:D22"/>
    <mergeCell ref="E21:E22"/>
    <mergeCell ref="F21:F22"/>
    <mergeCell ref="D19:D20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9" fitToHeight="21" orientation="landscape" r:id="rId1"/>
  <ignoredErrors>
    <ignoredError sqref="T13:T20" 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opLeftCell="A11" zoomScaleNormal="100" zoomScaleSheetLayoutView="85" zoomScalePageLayoutView="80" workbookViewId="0">
      <pane xSplit="1" topLeftCell="F1" activePane="topRight" state="frozen"/>
      <selection activeCell="A9" sqref="A9"/>
      <selection pane="topRight" activeCell="O12" sqref="O12:O23"/>
    </sheetView>
  </sheetViews>
  <sheetFormatPr baseColWidth="10" defaultRowHeight="15" x14ac:dyDescent="0.25"/>
  <cols>
    <col min="1" max="1" width="10.140625" customWidth="1"/>
    <col min="2" max="2" width="9.42578125" customWidth="1"/>
    <col min="3" max="3" width="0.28515625" customWidth="1"/>
    <col min="4" max="4" width="26.5703125" customWidth="1"/>
    <col min="5" max="5" width="30.85546875" style="1" customWidth="1"/>
    <col min="6" max="6" width="17.7109375" customWidth="1"/>
    <col min="7" max="7" width="15" customWidth="1"/>
    <col min="8" max="8" width="19.140625" customWidth="1"/>
    <col min="9" max="9" width="16.7109375" customWidth="1"/>
    <col min="10" max="10" width="16" customWidth="1"/>
    <col min="11" max="12" width="11.7109375" hidden="1" customWidth="1"/>
    <col min="13" max="13" width="47.140625" customWidth="1"/>
    <col min="14" max="14" width="5" customWidth="1"/>
    <col min="15" max="16360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126</v>
      </c>
      <c r="H8" s="9"/>
      <c r="I8" s="192"/>
      <c r="J8" s="9"/>
    </row>
    <row r="9" spans="1:13" ht="18.75" thickBot="1" x14ac:dyDescent="0.3">
      <c r="D9" s="10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3" ht="86.25" thickTop="1" x14ac:dyDescent="0.25">
      <c r="A12" s="227" t="s">
        <v>232</v>
      </c>
      <c r="B12" s="228">
        <v>310203</v>
      </c>
      <c r="C12" s="229" t="s">
        <v>233</v>
      </c>
      <c r="D12" s="254" t="s">
        <v>234</v>
      </c>
      <c r="E12" s="241" t="s">
        <v>235</v>
      </c>
      <c r="F12" s="230">
        <f>CHIS_Calendario!F13</f>
        <v>113004</v>
      </c>
      <c r="G12" s="230">
        <v>9416.9599999999991</v>
      </c>
      <c r="H12" s="67">
        <f ca="1">CHIS_Calendario!T13</f>
        <v>84753</v>
      </c>
      <c r="I12" s="67">
        <f>CHIS_Calendario!T14</f>
        <v>75328</v>
      </c>
      <c r="J12" s="67">
        <f t="shared" ref="J12:J24" ca="1" si="0">H12-I12</f>
        <v>9425</v>
      </c>
      <c r="K12" s="67">
        <f ca="1">+J12/H12*100</f>
        <v>11.120550305003952</v>
      </c>
      <c r="L12" s="67">
        <f ca="1">+I12/H12*100</f>
        <v>88.879449694996055</v>
      </c>
      <c r="M12" s="255" t="s">
        <v>778</v>
      </c>
    </row>
    <row r="13" spans="1:13" ht="45.75" customHeight="1" x14ac:dyDescent="0.25">
      <c r="A13" s="132" t="s">
        <v>236</v>
      </c>
      <c r="B13" s="179">
        <v>710100</v>
      </c>
      <c r="C13" s="155" t="s">
        <v>237</v>
      </c>
      <c r="D13" s="254" t="s">
        <v>238</v>
      </c>
      <c r="E13" s="241" t="s">
        <v>239</v>
      </c>
      <c r="F13" s="230">
        <f>CHIS_Calendario!F15</f>
        <v>684288</v>
      </c>
      <c r="G13" s="230">
        <f>+F13/12</f>
        <v>57024</v>
      </c>
      <c r="H13" s="67">
        <f ca="1">CHIS_Calendario!T15</f>
        <v>513216</v>
      </c>
      <c r="I13" s="67">
        <f>CHIS_Calendario!T16</f>
        <v>456191.84</v>
      </c>
      <c r="J13" s="67">
        <f t="shared" ca="1" si="0"/>
        <v>57024.159999999974</v>
      </c>
      <c r="K13" s="67">
        <f ca="1">+J13/H13*100</f>
        <v>11.111142287068208</v>
      </c>
      <c r="L13" s="67">
        <f ca="1">+I13/H13*100</f>
        <v>88.888857712931795</v>
      </c>
      <c r="M13" s="255" t="s">
        <v>778</v>
      </c>
    </row>
    <row r="14" spans="1:13" ht="42.75" customHeight="1" x14ac:dyDescent="0.25">
      <c r="A14" s="132" t="s">
        <v>240</v>
      </c>
      <c r="B14" s="179">
        <v>380200</v>
      </c>
      <c r="C14" s="155" t="s">
        <v>237</v>
      </c>
      <c r="D14" s="254" t="s">
        <v>241</v>
      </c>
      <c r="E14" s="241" t="s">
        <v>242</v>
      </c>
      <c r="F14" s="230">
        <f>CHIS_Calendario!F17</f>
        <v>0</v>
      </c>
      <c r="G14" s="230">
        <v>37155.96</v>
      </c>
      <c r="H14" s="67">
        <f ca="1">CHIS_Calendario!T17</f>
        <v>0</v>
      </c>
      <c r="I14" s="67">
        <f>CHIS_Calendario!T18</f>
        <v>0</v>
      </c>
      <c r="J14" s="67">
        <f t="shared" ca="1" si="0"/>
        <v>0</v>
      </c>
      <c r="K14" s="67" t="e">
        <f ca="1">+J14/H14*100</f>
        <v>#DIV/0!</v>
      </c>
      <c r="L14" s="67" t="e">
        <f ca="1">+I14/H14*100</f>
        <v>#DIV/0!</v>
      </c>
      <c r="M14" s="255" t="s">
        <v>260</v>
      </c>
    </row>
    <row r="15" spans="1:13" ht="54.75" customHeight="1" x14ac:dyDescent="0.25">
      <c r="A15" s="132" t="s">
        <v>243</v>
      </c>
      <c r="B15" s="179">
        <v>380200</v>
      </c>
      <c r="C15" s="155" t="s">
        <v>233</v>
      </c>
      <c r="D15" s="254" t="s">
        <v>244</v>
      </c>
      <c r="E15" s="241" t="s">
        <v>245</v>
      </c>
      <c r="F15" s="230">
        <f>CHIS_Calendario!F19</f>
        <v>696000</v>
      </c>
      <c r="G15" s="230">
        <f>+F15/12</f>
        <v>58000</v>
      </c>
      <c r="H15" s="67">
        <f ca="1">CHIS_Calendario!T19</f>
        <v>522000</v>
      </c>
      <c r="I15" s="67">
        <f>CHIS_Calendario!T20</f>
        <v>464000</v>
      </c>
      <c r="J15" s="67">
        <f t="shared" ca="1" si="0"/>
        <v>58000</v>
      </c>
      <c r="K15" s="67">
        <f t="shared" ref="K15:K22" ca="1" si="1">+J15/H15*100</f>
        <v>11.111111111111111</v>
      </c>
      <c r="L15" s="67">
        <f t="shared" ref="L15:L22" ca="1" si="2">+I15/H15*100</f>
        <v>88.888888888888886</v>
      </c>
      <c r="M15" s="255" t="s">
        <v>778</v>
      </c>
    </row>
    <row r="16" spans="1:13" hidden="1" x14ac:dyDescent="0.25">
      <c r="A16" s="232" t="s">
        <v>246</v>
      </c>
      <c r="B16" s="179">
        <v>150902</v>
      </c>
      <c r="C16" s="155" t="s">
        <v>237</v>
      </c>
      <c r="D16" s="254"/>
      <c r="E16" s="241"/>
      <c r="F16" s="230"/>
      <c r="G16" s="230"/>
      <c r="H16" s="67"/>
      <c r="I16" s="67">
        <f>CHIS_Calendario!T18</f>
        <v>0</v>
      </c>
      <c r="J16" s="67">
        <f t="shared" si="0"/>
        <v>0</v>
      </c>
      <c r="K16" s="67"/>
      <c r="L16" s="67"/>
      <c r="M16" s="255"/>
    </row>
    <row r="17" spans="1:13" ht="57" x14ac:dyDescent="0.25">
      <c r="A17" s="232" t="s">
        <v>249</v>
      </c>
      <c r="B17" s="179">
        <v>140100</v>
      </c>
      <c r="C17" s="173" t="s">
        <v>233</v>
      </c>
      <c r="D17" s="254" t="s">
        <v>250</v>
      </c>
      <c r="E17" s="241" t="s">
        <v>251</v>
      </c>
      <c r="F17" s="230">
        <f>CHIS_Calendario!F23</f>
        <v>588180</v>
      </c>
      <c r="G17" s="230">
        <f>F17/12</f>
        <v>49015</v>
      </c>
      <c r="H17" s="67">
        <f ca="1">CHIS_Calendario!T23</f>
        <v>407160</v>
      </c>
      <c r="I17" s="67">
        <f>CHIS_Calendario!T24</f>
        <v>361919.99</v>
      </c>
      <c r="J17" s="67">
        <f t="shared" ca="1" si="0"/>
        <v>45240.010000000009</v>
      </c>
      <c r="K17" s="67">
        <f t="shared" ca="1" si="1"/>
        <v>11.111113567148053</v>
      </c>
      <c r="L17" s="67">
        <f t="shared" ca="1" si="2"/>
        <v>88.888886432851947</v>
      </c>
      <c r="M17" s="255" t="s">
        <v>318</v>
      </c>
    </row>
    <row r="18" spans="1:13" ht="57" x14ac:dyDescent="0.25">
      <c r="A18" s="232">
        <f>+[35]CHIS!A26</f>
        <v>79306</v>
      </c>
      <c r="B18" s="232">
        <f>+[35]CHIS!B26</f>
        <v>73200</v>
      </c>
      <c r="C18" s="173"/>
      <c r="D18" s="254" t="s">
        <v>261</v>
      </c>
      <c r="E18" s="241" t="s">
        <v>255</v>
      </c>
      <c r="F18" s="230">
        <f>CHIS_Calendario!F27</f>
        <v>125280</v>
      </c>
      <c r="G18" s="230">
        <f>+F18/12</f>
        <v>10440</v>
      </c>
      <c r="H18" s="67">
        <f ca="1">CHIS_Calendario!T27</f>
        <v>93960</v>
      </c>
      <c r="I18" s="67">
        <f>CHIS_Calendario!T28</f>
        <v>83520</v>
      </c>
      <c r="J18" s="67">
        <f t="shared" ca="1" si="0"/>
        <v>10440</v>
      </c>
      <c r="K18" s="67">
        <f t="shared" ca="1" si="1"/>
        <v>11.111111111111111</v>
      </c>
      <c r="L18" s="67">
        <f t="shared" ca="1" si="2"/>
        <v>88.888888888888886</v>
      </c>
      <c r="M18" s="255" t="s">
        <v>778</v>
      </c>
    </row>
    <row r="19" spans="1:13" ht="57" x14ac:dyDescent="0.25">
      <c r="A19" s="232">
        <f>+[35]CHIS!$A$28</f>
        <v>79307</v>
      </c>
      <c r="B19" s="179">
        <f>+[35]CHIS!$B$28</f>
        <v>73110</v>
      </c>
      <c r="C19" s="173"/>
      <c r="D19" s="254" t="s">
        <v>256</v>
      </c>
      <c r="E19" s="241" t="s">
        <v>255</v>
      </c>
      <c r="F19" s="230">
        <f>CHIS_Calendario!F29</f>
        <v>125280</v>
      </c>
      <c r="G19" s="230">
        <f>+F19/12</f>
        <v>10440</v>
      </c>
      <c r="H19" s="67">
        <f ca="1">CHIS_Calendario!T29</f>
        <v>93960</v>
      </c>
      <c r="I19" s="67">
        <f>CHIS_Calendario!T30</f>
        <v>73080</v>
      </c>
      <c r="J19" s="67">
        <f t="shared" ca="1" si="0"/>
        <v>20880</v>
      </c>
      <c r="K19" s="67">
        <f t="shared" ca="1" si="1"/>
        <v>22.222222222222221</v>
      </c>
      <c r="L19" s="67">
        <f t="shared" ca="1" si="2"/>
        <v>77.777777777777786</v>
      </c>
      <c r="M19" s="255" t="s">
        <v>971</v>
      </c>
    </row>
    <row r="20" spans="1:13" ht="85.5" x14ac:dyDescent="0.25">
      <c r="A20" s="232" t="s">
        <v>262</v>
      </c>
      <c r="B20" s="179">
        <v>73200</v>
      </c>
      <c r="C20" s="173"/>
      <c r="D20" s="254" t="s">
        <v>257</v>
      </c>
      <c r="E20" s="241" t="s">
        <v>255</v>
      </c>
      <c r="F20" s="230">
        <f>CHIS_Calendario!F31</f>
        <v>73080</v>
      </c>
      <c r="G20" s="230">
        <f>+F20/12</f>
        <v>6090</v>
      </c>
      <c r="H20" s="67">
        <f ca="1">CHIS_Calendario!T31</f>
        <v>54810</v>
      </c>
      <c r="I20" s="67">
        <f>CHIS_Calendario!T32</f>
        <v>48720</v>
      </c>
      <c r="J20" s="67">
        <f t="shared" ca="1" si="0"/>
        <v>6090</v>
      </c>
      <c r="K20" s="67">
        <f t="shared" ca="1" si="1"/>
        <v>11.111111111111111</v>
      </c>
      <c r="L20" s="67">
        <f t="shared" ca="1" si="2"/>
        <v>88.888888888888886</v>
      </c>
      <c r="M20" s="255" t="s">
        <v>778</v>
      </c>
    </row>
    <row r="21" spans="1:13" ht="57" x14ac:dyDescent="0.25">
      <c r="A21" s="232">
        <v>579307</v>
      </c>
      <c r="B21" s="179">
        <v>73110</v>
      </c>
      <c r="C21" s="173"/>
      <c r="D21" s="254" t="s">
        <v>258</v>
      </c>
      <c r="E21" s="241" t="s">
        <v>255</v>
      </c>
      <c r="F21" s="230">
        <f>CHIS_Calendario!F33</f>
        <v>125280</v>
      </c>
      <c r="G21" s="230">
        <f>+F21/12</f>
        <v>10440</v>
      </c>
      <c r="H21" s="67">
        <f ca="1">CHIS_Calendario!T33</f>
        <v>93960</v>
      </c>
      <c r="I21" s="67">
        <f>CHIS_Calendario!T34</f>
        <v>83520</v>
      </c>
      <c r="J21" s="67">
        <f t="shared" ca="1" si="0"/>
        <v>10440</v>
      </c>
      <c r="K21" s="67">
        <f t="shared" ca="1" si="1"/>
        <v>11.111111111111111</v>
      </c>
      <c r="L21" s="67">
        <f t="shared" ca="1" si="2"/>
        <v>88.888888888888886</v>
      </c>
      <c r="M21" s="255" t="s">
        <v>778</v>
      </c>
    </row>
    <row r="22" spans="1:13" ht="90.75" customHeight="1" thickBot="1" x14ac:dyDescent="0.3">
      <c r="A22" s="232">
        <v>579001</v>
      </c>
      <c r="B22" s="179">
        <v>73110</v>
      </c>
      <c r="C22" s="173"/>
      <c r="D22" s="256" t="s">
        <v>259</v>
      </c>
      <c r="E22" s="257" t="s">
        <v>255</v>
      </c>
      <c r="F22" s="230">
        <f>CHIS_Calendario!F35</f>
        <v>552624</v>
      </c>
      <c r="G22" s="258">
        <f>+F22/12</f>
        <v>46052</v>
      </c>
      <c r="H22" s="259">
        <f ca="1">CHIS_Calendario!T35</f>
        <v>414468</v>
      </c>
      <c r="I22" s="67">
        <f>CHIS_Calendario!T36</f>
        <v>343007.85</v>
      </c>
      <c r="J22" s="259">
        <f t="shared" ca="1" si="0"/>
        <v>71460.150000000023</v>
      </c>
      <c r="K22" s="259">
        <f t="shared" ca="1" si="1"/>
        <v>17.241415501317356</v>
      </c>
      <c r="L22" s="259">
        <f t="shared" ca="1" si="2"/>
        <v>82.758584498682637</v>
      </c>
      <c r="M22" s="260" t="s">
        <v>972</v>
      </c>
    </row>
    <row r="23" spans="1:13" ht="15.75" thickBot="1" x14ac:dyDescent="0.3">
      <c r="A23" s="232"/>
      <c r="B23" s="132"/>
      <c r="C23" s="173"/>
      <c r="D23" s="256"/>
      <c r="E23" s="257"/>
      <c r="F23" s="258"/>
      <c r="G23" s="258"/>
      <c r="H23" s="259"/>
      <c r="I23" s="259"/>
      <c r="J23" s="259">
        <f t="shared" si="0"/>
        <v>0</v>
      </c>
      <c r="K23" s="259"/>
      <c r="L23" s="259"/>
      <c r="M23" s="261" t="s">
        <v>263</v>
      </c>
    </row>
    <row r="24" spans="1:13" ht="15.75" thickBot="1" x14ac:dyDescent="0.3">
      <c r="A24" s="4"/>
      <c r="B24" s="4">
        <v>10</v>
      </c>
      <c r="C24" s="24">
        <f>COUNT(#REF!)</f>
        <v>0</v>
      </c>
      <c r="D24" s="7"/>
      <c r="E24" s="6"/>
      <c r="F24" s="262">
        <f>SUM(F12:F23)</f>
        <v>3083016</v>
      </c>
      <c r="G24" s="262">
        <f>SUM(G12:G23)</f>
        <v>294073.92</v>
      </c>
      <c r="H24" s="262">
        <f ca="1">SUM(H12:H23)</f>
        <v>2278287</v>
      </c>
      <c r="I24" s="262">
        <f>SUM(I12:I23)</f>
        <v>1989287.6800000002</v>
      </c>
      <c r="J24" s="262">
        <f t="shared" ca="1" si="0"/>
        <v>288999.31999999983</v>
      </c>
      <c r="K24" s="150">
        <f ca="1">+J24/H24*100</f>
        <v>12.684939167014509</v>
      </c>
      <c r="L24" s="151">
        <f ca="1">+I24/H24*100</f>
        <v>87.315060832985495</v>
      </c>
      <c r="M24" s="263"/>
    </row>
    <row r="28" spans="1:13" x14ac:dyDescent="0.25">
      <c r="F28" s="9">
        <f>+F24-F26</f>
        <v>3083016</v>
      </c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1" fitToHeight="21" orientation="landscape" r:id="rId1"/>
  <ignoredErrors>
    <ignoredError sqref="H15:I15" formula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zoomScaleNormal="100" zoomScaleSheetLayoutView="70" zoomScalePageLayoutView="80" workbookViewId="0">
      <pane xSplit="6" ySplit="12" topLeftCell="M18" activePane="bottomRight" state="frozen"/>
      <selection pane="topRight" activeCell="G1" sqref="G1"/>
      <selection pane="bottomLeft" activeCell="A12" sqref="A12"/>
      <selection pane="bottomRight" activeCell="L22" sqref="L22:P22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22.140625" customWidth="1"/>
    <col min="7" max="7" width="15" customWidth="1"/>
    <col min="8" max="8" width="17" customWidth="1"/>
    <col min="9" max="9" width="20.7109375" customWidth="1"/>
    <col min="10" max="10" width="19.28515625" customWidth="1"/>
    <col min="11" max="11" width="17.85546875" customWidth="1"/>
    <col min="12" max="12" width="21.5703125" customWidth="1"/>
    <col min="13" max="19" width="18.140625" customWidth="1"/>
    <col min="20" max="20" width="19.710937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D1" s="10" t="s">
        <v>25</v>
      </c>
      <c r="U1" s="11"/>
    </row>
    <row r="2" spans="1:21" ht="18" x14ac:dyDescent="0.25">
      <c r="D2" s="10" t="s">
        <v>24</v>
      </c>
    </row>
    <row r="3" spans="1:21" ht="18" x14ac:dyDescent="0.25">
      <c r="D3" s="10" t="s">
        <v>23</v>
      </c>
    </row>
    <row r="4" spans="1:21" ht="18" x14ac:dyDescent="0.25">
      <c r="D4" s="10" t="s">
        <v>22</v>
      </c>
    </row>
    <row r="5" spans="1:21" ht="18" x14ac:dyDescent="0.25">
      <c r="D5" s="10" t="s">
        <v>21</v>
      </c>
    </row>
    <row r="6" spans="1:21" ht="20.25" x14ac:dyDescent="0.3">
      <c r="D6" s="14" t="s">
        <v>20</v>
      </c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126</v>
      </c>
      <c r="T8" s="9"/>
    </row>
    <row r="9" spans="1:21" ht="18.75" thickBot="1" x14ac:dyDescent="0.3">
      <c r="D9" s="39"/>
      <c r="E9" s="10"/>
      <c r="T9" s="9"/>
    </row>
    <row r="10" spans="1:21" ht="18.75" hidden="1" thickBot="1" x14ac:dyDescent="0.3">
      <c r="D10" s="10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153"/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153" t="s">
        <v>51</v>
      </c>
      <c r="U12" s="877"/>
    </row>
    <row r="13" spans="1:21" ht="80.25" customHeight="1" thickTop="1" thickBot="1" x14ac:dyDescent="0.3">
      <c r="A13" s="228">
        <v>310203</v>
      </c>
      <c r="B13" s="227">
        <v>75401</v>
      </c>
      <c r="C13" s="229" t="s">
        <v>233</v>
      </c>
      <c r="D13" s="907" t="s">
        <v>234</v>
      </c>
      <c r="E13" s="907" t="s">
        <v>235</v>
      </c>
      <c r="F13" s="909">
        <f>SUM(H13:S13)</f>
        <v>113004</v>
      </c>
      <c r="G13" s="230" t="s">
        <v>52</v>
      </c>
      <c r="H13" s="230"/>
      <c r="I13" s="230">
        <f t="shared" ref="I13:S13" si="0">VLOOKUP($A13&amp;$B13&amp;I$10,Base,8,FALSE)</f>
        <v>0</v>
      </c>
      <c r="J13" s="230">
        <f t="shared" si="0"/>
        <v>18832</v>
      </c>
      <c r="K13" s="230">
        <f t="shared" si="0"/>
        <v>9416</v>
      </c>
      <c r="L13" s="230">
        <f t="shared" si="0"/>
        <v>9416</v>
      </c>
      <c r="M13" s="230">
        <f t="shared" si="0"/>
        <v>9416</v>
      </c>
      <c r="N13" s="230">
        <f t="shared" si="0"/>
        <v>9416</v>
      </c>
      <c r="O13" s="230">
        <f t="shared" si="0"/>
        <v>0</v>
      </c>
      <c r="P13" s="230">
        <f t="shared" si="0"/>
        <v>18832</v>
      </c>
      <c r="Q13" s="230">
        <f t="shared" si="0"/>
        <v>9425</v>
      </c>
      <c r="R13" s="230">
        <f t="shared" si="0"/>
        <v>9417</v>
      </c>
      <c r="S13" s="230">
        <f t="shared" si="0"/>
        <v>18834</v>
      </c>
      <c r="T13" s="185">
        <f ca="1">SUM($H13:(OFFSET($H13,0,AVANCE060826!$T$2)))</f>
        <v>84753</v>
      </c>
      <c r="U13" s="903"/>
    </row>
    <row r="14" spans="1:21" ht="59.25" customHeight="1" thickTop="1" x14ac:dyDescent="0.25">
      <c r="A14" s="228">
        <v>310203</v>
      </c>
      <c r="B14" s="227">
        <v>75401</v>
      </c>
      <c r="C14" s="229"/>
      <c r="D14" s="908"/>
      <c r="E14" s="908"/>
      <c r="F14" s="910"/>
      <c r="G14" s="230" t="s">
        <v>53</v>
      </c>
      <c r="H14" s="230"/>
      <c r="I14" s="230">
        <f t="shared" ref="I14:S14" si="1">VLOOKUP($A14&amp;$B14&amp;I$10,Base,9,FALSE)</f>
        <v>0</v>
      </c>
      <c r="J14" s="230">
        <f t="shared" si="1"/>
        <v>18832</v>
      </c>
      <c r="K14" s="230">
        <f t="shared" si="1"/>
        <v>9416</v>
      </c>
      <c r="L14" s="230">
        <f t="shared" si="1"/>
        <v>9416</v>
      </c>
      <c r="M14" s="230">
        <f t="shared" si="1"/>
        <v>9416</v>
      </c>
      <c r="N14" s="230">
        <f t="shared" si="1"/>
        <v>9416</v>
      </c>
      <c r="O14" s="230">
        <f t="shared" si="1"/>
        <v>0</v>
      </c>
      <c r="P14" s="230">
        <f t="shared" si="1"/>
        <v>18832</v>
      </c>
      <c r="Q14" s="230">
        <f t="shared" si="1"/>
        <v>0</v>
      </c>
      <c r="R14" s="230">
        <f t="shared" si="1"/>
        <v>0</v>
      </c>
      <c r="S14" s="230">
        <f t="shared" si="1"/>
        <v>0</v>
      </c>
      <c r="T14" s="185">
        <f t="shared" ref="T14:T36" si="2">SUM(H14:S14)</f>
        <v>75328</v>
      </c>
      <c r="U14" s="903"/>
    </row>
    <row r="15" spans="1:21" ht="45.75" customHeight="1" x14ac:dyDescent="0.25">
      <c r="A15" s="179">
        <v>710100</v>
      </c>
      <c r="B15" s="132">
        <v>79001</v>
      </c>
      <c r="C15" s="155" t="s">
        <v>237</v>
      </c>
      <c r="D15" s="907" t="s">
        <v>238</v>
      </c>
      <c r="E15" s="907" t="s">
        <v>239</v>
      </c>
      <c r="F15" s="909">
        <f>SUM(I15:S15)</f>
        <v>684288</v>
      </c>
      <c r="G15" s="230" t="s">
        <v>52</v>
      </c>
      <c r="H15" s="230"/>
      <c r="I15" s="230">
        <f t="shared" ref="I15:S15" si="3">VLOOKUP($A15&amp;$B15&amp;I$10,Base,8,FALSE)</f>
        <v>0</v>
      </c>
      <c r="J15" s="230">
        <f t="shared" si="3"/>
        <v>0</v>
      </c>
      <c r="K15" s="230">
        <f t="shared" si="3"/>
        <v>171071.94</v>
      </c>
      <c r="L15" s="230">
        <f t="shared" si="3"/>
        <v>57023.98</v>
      </c>
      <c r="M15" s="230">
        <f t="shared" si="3"/>
        <v>57023.98</v>
      </c>
      <c r="N15" s="230">
        <f t="shared" si="3"/>
        <v>57023.98</v>
      </c>
      <c r="O15" s="230">
        <f t="shared" si="3"/>
        <v>0</v>
      </c>
      <c r="P15" s="230">
        <f t="shared" si="3"/>
        <v>114047.96</v>
      </c>
      <c r="Q15" s="230">
        <f t="shared" si="3"/>
        <v>57024.160000000003</v>
      </c>
      <c r="R15" s="230">
        <f t="shared" si="3"/>
        <v>57024</v>
      </c>
      <c r="S15" s="230">
        <f t="shared" si="3"/>
        <v>114048</v>
      </c>
      <c r="T15" s="185">
        <f ca="1">SUM($H15:(OFFSET($H15,0,AVANCE060826!$T$2)))</f>
        <v>513216</v>
      </c>
      <c r="U15" s="903"/>
    </row>
    <row r="16" spans="1:21" ht="45.75" customHeight="1" x14ac:dyDescent="0.25">
      <c r="A16" s="179">
        <v>710100</v>
      </c>
      <c r="B16" s="132">
        <v>79001</v>
      </c>
      <c r="C16" s="155"/>
      <c r="D16" s="908"/>
      <c r="E16" s="908"/>
      <c r="F16" s="910"/>
      <c r="G16" s="230" t="s">
        <v>53</v>
      </c>
      <c r="H16" s="230"/>
      <c r="I16" s="230">
        <f t="shared" ref="I16:S16" si="4">VLOOKUP($A16&amp;$B16&amp;I$10,Base,9,FALSE)</f>
        <v>0</v>
      </c>
      <c r="J16" s="230">
        <f t="shared" si="4"/>
        <v>0</v>
      </c>
      <c r="K16" s="230">
        <f t="shared" si="4"/>
        <v>171071.94</v>
      </c>
      <c r="L16" s="230">
        <f t="shared" si="4"/>
        <v>57023.98</v>
      </c>
      <c r="M16" s="230">
        <f t="shared" si="4"/>
        <v>57023.98</v>
      </c>
      <c r="N16" s="230">
        <f t="shared" si="4"/>
        <v>57023.98</v>
      </c>
      <c r="O16" s="230">
        <f t="shared" si="4"/>
        <v>0</v>
      </c>
      <c r="P16" s="230">
        <f t="shared" si="4"/>
        <v>114047.96</v>
      </c>
      <c r="Q16" s="230">
        <f t="shared" si="4"/>
        <v>0</v>
      </c>
      <c r="R16" s="230">
        <f t="shared" si="4"/>
        <v>0</v>
      </c>
      <c r="S16" s="230">
        <f t="shared" si="4"/>
        <v>0</v>
      </c>
      <c r="T16" s="185">
        <f t="shared" si="2"/>
        <v>456191.84</v>
      </c>
      <c r="U16" s="903"/>
    </row>
    <row r="17" spans="1:21" ht="42.75" customHeight="1" x14ac:dyDescent="0.25">
      <c r="A17" s="179">
        <v>380200</v>
      </c>
      <c r="B17" s="132">
        <v>75902</v>
      </c>
      <c r="C17" s="155" t="s">
        <v>237</v>
      </c>
      <c r="D17" s="907" t="s">
        <v>241</v>
      </c>
      <c r="E17" s="907" t="s">
        <v>242</v>
      </c>
      <c r="F17" s="909">
        <f>SUM(I17:S17)</f>
        <v>0</v>
      </c>
      <c r="G17" s="230" t="s">
        <v>52</v>
      </c>
      <c r="H17" s="230"/>
      <c r="I17" s="230">
        <f t="shared" ref="I17:S17" si="5">VLOOKUP($A17&amp;$B17&amp;I$10,Base,8,FALSE)</f>
        <v>0</v>
      </c>
      <c r="J17" s="230">
        <f t="shared" si="5"/>
        <v>0</v>
      </c>
      <c r="K17" s="230">
        <f t="shared" si="5"/>
        <v>0</v>
      </c>
      <c r="L17" s="230">
        <f t="shared" si="5"/>
        <v>0</v>
      </c>
      <c r="M17" s="230">
        <f t="shared" si="5"/>
        <v>0</v>
      </c>
      <c r="N17" s="230">
        <f t="shared" si="5"/>
        <v>0</v>
      </c>
      <c r="O17" s="230">
        <f t="shared" si="5"/>
        <v>0</v>
      </c>
      <c r="P17" s="230">
        <f t="shared" si="5"/>
        <v>0</v>
      </c>
      <c r="Q17" s="230">
        <f t="shared" si="5"/>
        <v>0</v>
      </c>
      <c r="R17" s="230">
        <f t="shared" si="5"/>
        <v>0</v>
      </c>
      <c r="S17" s="230">
        <f t="shared" si="5"/>
        <v>0</v>
      </c>
      <c r="T17" s="185">
        <f ca="1">SUM($H17:(OFFSET($H17,0,AVANCE060826!$T$2)))</f>
        <v>0</v>
      </c>
      <c r="U17" s="903"/>
    </row>
    <row r="18" spans="1:21" ht="42.75" customHeight="1" x14ac:dyDescent="0.25">
      <c r="A18" s="179">
        <v>380200</v>
      </c>
      <c r="B18" s="132">
        <v>75902</v>
      </c>
      <c r="C18" s="155"/>
      <c r="D18" s="908"/>
      <c r="E18" s="908"/>
      <c r="F18" s="910"/>
      <c r="G18" s="230" t="s">
        <v>53</v>
      </c>
      <c r="H18" s="230"/>
      <c r="I18" s="230">
        <f t="shared" ref="I18:S18" si="6">VLOOKUP($A18&amp;$B18&amp;I$10,Base,9,FALSE)</f>
        <v>0</v>
      </c>
      <c r="J18" s="230">
        <f t="shared" si="6"/>
        <v>0</v>
      </c>
      <c r="K18" s="230">
        <f t="shared" si="6"/>
        <v>0</v>
      </c>
      <c r="L18" s="230">
        <f t="shared" si="6"/>
        <v>0</v>
      </c>
      <c r="M18" s="230">
        <f t="shared" si="6"/>
        <v>0</v>
      </c>
      <c r="N18" s="230">
        <f t="shared" si="6"/>
        <v>0</v>
      </c>
      <c r="O18" s="230">
        <f t="shared" si="6"/>
        <v>0</v>
      </c>
      <c r="P18" s="230">
        <f t="shared" si="6"/>
        <v>0</v>
      </c>
      <c r="Q18" s="230">
        <f t="shared" si="6"/>
        <v>0</v>
      </c>
      <c r="R18" s="230">
        <f t="shared" si="6"/>
        <v>0</v>
      </c>
      <c r="S18" s="230">
        <f t="shared" si="6"/>
        <v>0</v>
      </c>
      <c r="T18" s="185">
        <f t="shared" si="2"/>
        <v>0</v>
      </c>
      <c r="U18" s="903"/>
    </row>
    <row r="19" spans="1:21" ht="54.75" customHeight="1" x14ac:dyDescent="0.25">
      <c r="A19" s="179">
        <v>380200</v>
      </c>
      <c r="B19" s="132">
        <v>75901</v>
      </c>
      <c r="C19" s="155" t="s">
        <v>233</v>
      </c>
      <c r="D19" s="907" t="s">
        <v>244</v>
      </c>
      <c r="E19" s="907" t="s">
        <v>245</v>
      </c>
      <c r="F19" s="909">
        <f>SUM(I19:S19)</f>
        <v>696000</v>
      </c>
      <c r="G19" s="230" t="s">
        <v>52</v>
      </c>
      <c r="H19" s="230"/>
      <c r="I19" s="230">
        <f>VLOOKUP($A19&amp;$B19&amp;I$10,Base,8,FALSE)</f>
        <v>0</v>
      </c>
      <c r="J19" s="230">
        <f>VLOOKUP($A19&amp;$B19&amp;J$10,Base,8,FALSE)</f>
        <v>0</v>
      </c>
      <c r="K19" s="230">
        <f>VLOOKUP($A20&amp;$B20&amp;K$10,Base,8,FALSE)</f>
        <v>58000</v>
      </c>
      <c r="L19" s="230">
        <f t="shared" ref="L19:S19" si="7">VLOOKUP($A19&amp;$B19&amp;L$10,Base,8,FALSE)</f>
        <v>174000</v>
      </c>
      <c r="M19" s="230">
        <f t="shared" si="7"/>
        <v>58000</v>
      </c>
      <c r="N19" s="230">
        <f t="shared" si="7"/>
        <v>58000</v>
      </c>
      <c r="O19" s="230">
        <f t="shared" si="7"/>
        <v>58000</v>
      </c>
      <c r="P19" s="230">
        <f t="shared" si="7"/>
        <v>58000</v>
      </c>
      <c r="Q19" s="230">
        <f t="shared" si="7"/>
        <v>58000</v>
      </c>
      <c r="R19" s="230">
        <f t="shared" si="7"/>
        <v>58000</v>
      </c>
      <c r="S19" s="230">
        <f t="shared" si="7"/>
        <v>116000</v>
      </c>
      <c r="T19" s="185">
        <f ca="1">SUM($H19:(OFFSET($H19,0,AVANCE060826!$T$2)))</f>
        <v>522000</v>
      </c>
      <c r="U19" s="903"/>
    </row>
    <row r="20" spans="1:21" ht="54.75" customHeight="1" x14ac:dyDescent="0.25">
      <c r="A20" s="179">
        <v>380200</v>
      </c>
      <c r="B20" s="132">
        <v>75901</v>
      </c>
      <c r="C20" s="155"/>
      <c r="D20" s="908"/>
      <c r="E20" s="908"/>
      <c r="F20" s="910"/>
      <c r="G20" s="230" t="s">
        <v>53</v>
      </c>
      <c r="H20" s="230"/>
      <c r="I20" s="230">
        <f t="shared" ref="I20:S20" si="8">VLOOKUP($A20&amp;$B20&amp;I$10,Base,9,FALSE)</f>
        <v>0</v>
      </c>
      <c r="J20" s="230">
        <f t="shared" si="8"/>
        <v>0</v>
      </c>
      <c r="K20" s="230">
        <f t="shared" si="8"/>
        <v>58000</v>
      </c>
      <c r="L20" s="230">
        <f t="shared" si="8"/>
        <v>174000</v>
      </c>
      <c r="M20" s="230">
        <f t="shared" si="8"/>
        <v>58000</v>
      </c>
      <c r="N20" s="230">
        <f t="shared" si="8"/>
        <v>58000</v>
      </c>
      <c r="O20" s="230">
        <f t="shared" si="8"/>
        <v>58000</v>
      </c>
      <c r="P20" s="230">
        <f t="shared" si="8"/>
        <v>58000</v>
      </c>
      <c r="Q20" s="230">
        <f t="shared" si="8"/>
        <v>0</v>
      </c>
      <c r="R20" s="230">
        <f t="shared" si="8"/>
        <v>0</v>
      </c>
      <c r="S20" s="230">
        <f t="shared" si="8"/>
        <v>0</v>
      </c>
      <c r="T20" s="185">
        <f t="shared" si="2"/>
        <v>464000</v>
      </c>
      <c r="U20" s="903"/>
    </row>
    <row r="21" spans="1:21" ht="45" customHeight="1" x14ac:dyDescent="0.25">
      <c r="A21" s="792"/>
      <c r="B21" s="792"/>
      <c r="C21" s="155" t="s">
        <v>237</v>
      </c>
      <c r="D21" s="911" t="s">
        <v>247</v>
      </c>
      <c r="E21" s="907" t="s">
        <v>248</v>
      </c>
      <c r="F21" s="909">
        <f>SUM(I21:S21)</f>
        <v>0</v>
      </c>
      <c r="G21" s="230" t="s">
        <v>52</v>
      </c>
      <c r="H21" s="230"/>
      <c r="I21" s="230"/>
      <c r="J21" s="230"/>
      <c r="K21" s="230">
        <f>IF(((VLOOKUP(K$10,AVANCE060826!$Q$8:$R$19,2,FALSE))&lt;=AVANCE060826!$S$2),$H21,0)</f>
        <v>0</v>
      </c>
      <c r="L21" s="230">
        <f>IF(((VLOOKUP(L$10,AVANCE060826!$Q$8:$R$19,2,FALSE))&lt;=AVANCE060826!$S$2),$H21,0)</f>
        <v>0</v>
      </c>
      <c r="M21" s="230">
        <f>IF(((VLOOKUP(M$10,AVANCE060826!$Q$8:$R$19,2,FALSE))&lt;=AVANCE060826!$S$2),$H21,0)</f>
        <v>0</v>
      </c>
      <c r="N21" s="230">
        <f>IF(((VLOOKUP(N$10,AVANCE060826!$Q$8:$R$19,2,FALSE))&lt;=AVANCE060826!$S$2),$H21,0)</f>
        <v>0</v>
      </c>
      <c r="O21" s="230">
        <f>IF(((VLOOKUP(O$10,AVANCE060826!$Q$8:$R$19,2,FALSE))&lt;=AVANCE060826!$S$2),$H21,0)</f>
        <v>0</v>
      </c>
      <c r="P21" s="230">
        <f>IF(((VLOOKUP(P$10,AVANCE060826!$Q$8:$R$19,2,FALSE))&lt;=AVANCE060826!$S$2),$H21,0)</f>
        <v>0</v>
      </c>
      <c r="Q21" s="230">
        <f>IF(((VLOOKUP(Q$10,AVANCE060826!$Q$8:$R$19,2,FALSE))&lt;=AVANCE060826!$S$2),$H21,0)</f>
        <v>0</v>
      </c>
      <c r="R21" s="230">
        <f>IF(((VLOOKUP(R$10,AVANCE060826!$Q$8:$R$19,2,FALSE))&lt;=AVANCE060826!$S$2),$H21,0)</f>
        <v>0</v>
      </c>
      <c r="S21" s="230">
        <f>IF(((VLOOKUP(S$10,AVANCE060826!$Q$8:$R$19,2,FALSE))&lt;=AVANCE060826!$S$2),$H21,0)</f>
        <v>0</v>
      </c>
      <c r="T21" s="185">
        <f t="shared" si="2"/>
        <v>0</v>
      </c>
      <c r="U21" s="903"/>
    </row>
    <row r="22" spans="1:21" ht="45" customHeight="1" x14ac:dyDescent="0.25">
      <c r="A22" s="793"/>
      <c r="B22" s="794"/>
      <c r="C22" s="173"/>
      <c r="D22" s="912"/>
      <c r="E22" s="908"/>
      <c r="F22" s="910"/>
      <c r="G22" s="230" t="s">
        <v>53</v>
      </c>
      <c r="H22" s="731"/>
      <c r="I22" s="731"/>
      <c r="J22" s="731"/>
      <c r="K22" s="731"/>
      <c r="L22" s="731"/>
      <c r="M22" s="731"/>
      <c r="N22" s="731"/>
      <c r="O22" s="731"/>
      <c r="P22" s="731"/>
      <c r="Q22" s="731"/>
      <c r="R22" s="731"/>
      <c r="S22" s="731"/>
      <c r="T22" s="732"/>
      <c r="U22" s="903"/>
    </row>
    <row r="23" spans="1:21" ht="90.75" customHeight="1" x14ac:dyDescent="0.25">
      <c r="A23" s="179">
        <v>140100</v>
      </c>
      <c r="B23" s="232">
        <v>79101</v>
      </c>
      <c r="C23" s="173" t="s">
        <v>233</v>
      </c>
      <c r="D23" s="907" t="s">
        <v>250</v>
      </c>
      <c r="E23" s="907" t="s">
        <v>251</v>
      </c>
      <c r="F23" s="909">
        <f>SUM(I23:S23)</f>
        <v>588180</v>
      </c>
      <c r="G23" s="230" t="s">
        <v>52</v>
      </c>
      <c r="H23" s="230"/>
      <c r="I23" s="230">
        <f t="shared" ref="I23:S23" si="9">VLOOKUP($A23&amp;$B23&amp;I$10,Base,8,FALSE)</f>
        <v>0</v>
      </c>
      <c r="J23" s="230">
        <f t="shared" si="9"/>
        <v>45239.99</v>
      </c>
      <c r="K23" s="230">
        <f t="shared" si="9"/>
        <v>0</v>
      </c>
      <c r="L23" s="230">
        <f t="shared" si="9"/>
        <v>135720</v>
      </c>
      <c r="M23" s="230">
        <f t="shared" si="9"/>
        <v>45239.98</v>
      </c>
      <c r="N23" s="230">
        <f t="shared" si="9"/>
        <v>45240.01</v>
      </c>
      <c r="O23" s="230">
        <f t="shared" si="9"/>
        <v>45240.01</v>
      </c>
      <c r="P23" s="230">
        <f t="shared" si="9"/>
        <v>45240</v>
      </c>
      <c r="Q23" s="230">
        <f t="shared" si="9"/>
        <v>45240.01</v>
      </c>
      <c r="R23" s="230">
        <f t="shared" si="9"/>
        <v>45240</v>
      </c>
      <c r="S23" s="230">
        <f t="shared" si="9"/>
        <v>135780</v>
      </c>
      <c r="T23" s="185">
        <f ca="1">SUM($H23:(OFFSET($H23,0,AVANCE060826!$T$2)))</f>
        <v>407160</v>
      </c>
      <c r="U23" s="235"/>
    </row>
    <row r="24" spans="1:21" ht="90.75" customHeight="1" x14ac:dyDescent="0.25">
      <c r="A24" s="179">
        <v>140100</v>
      </c>
      <c r="B24" s="232">
        <v>79101</v>
      </c>
      <c r="C24" s="173"/>
      <c r="D24" s="908"/>
      <c r="E24" s="908"/>
      <c r="F24" s="910"/>
      <c r="G24" s="230" t="s">
        <v>53</v>
      </c>
      <c r="H24" s="230"/>
      <c r="I24" s="230">
        <f t="shared" ref="I24:S24" si="10">VLOOKUP($A24&amp;$B24&amp;I$10,Base,9,FALSE)</f>
        <v>0</v>
      </c>
      <c r="J24" s="230">
        <f t="shared" si="10"/>
        <v>45239.99</v>
      </c>
      <c r="K24" s="230">
        <f t="shared" si="10"/>
        <v>0</v>
      </c>
      <c r="L24" s="230">
        <f t="shared" si="10"/>
        <v>135720</v>
      </c>
      <c r="M24" s="230">
        <f t="shared" si="10"/>
        <v>45239.98</v>
      </c>
      <c r="N24" s="230">
        <f t="shared" si="10"/>
        <v>45240.01</v>
      </c>
      <c r="O24" s="230">
        <f t="shared" si="10"/>
        <v>45240.01</v>
      </c>
      <c r="P24" s="230">
        <f t="shared" si="10"/>
        <v>45240</v>
      </c>
      <c r="Q24" s="230">
        <f t="shared" si="10"/>
        <v>0</v>
      </c>
      <c r="R24" s="230">
        <f t="shared" si="10"/>
        <v>0</v>
      </c>
      <c r="S24" s="230">
        <f t="shared" si="10"/>
        <v>0</v>
      </c>
      <c r="T24" s="185">
        <f t="shared" si="2"/>
        <v>361919.99</v>
      </c>
      <c r="U24" s="235"/>
    </row>
    <row r="25" spans="1:21" ht="45" customHeight="1" x14ac:dyDescent="0.25">
      <c r="A25" s="179">
        <v>50100</v>
      </c>
      <c r="B25" s="232">
        <v>79001</v>
      </c>
      <c r="C25" s="173" t="s">
        <v>233</v>
      </c>
      <c r="D25" s="911" t="s">
        <v>252</v>
      </c>
      <c r="E25" s="907" t="s">
        <v>253</v>
      </c>
      <c r="F25" s="909"/>
      <c r="G25" s="230" t="s">
        <v>52</v>
      </c>
      <c r="H25" s="230"/>
      <c r="I25" s="230">
        <f t="shared" ref="I25:S25" si="11">VLOOKUP($A25&amp;$B25&amp;I$10,Base,8,FALSE)</f>
        <v>0</v>
      </c>
      <c r="J25" s="230">
        <f t="shared" si="11"/>
        <v>0</v>
      </c>
      <c r="K25" s="230">
        <f t="shared" si="11"/>
        <v>0</v>
      </c>
      <c r="L25" s="230">
        <f t="shared" si="11"/>
        <v>0</v>
      </c>
      <c r="M25" s="230">
        <f t="shared" si="11"/>
        <v>0</v>
      </c>
      <c r="N25" s="230">
        <f t="shared" si="11"/>
        <v>0</v>
      </c>
      <c r="O25" s="230">
        <f t="shared" si="11"/>
        <v>0</v>
      </c>
      <c r="P25" s="230">
        <f t="shared" si="11"/>
        <v>0</v>
      </c>
      <c r="Q25" s="230">
        <f t="shared" si="11"/>
        <v>0</v>
      </c>
      <c r="R25" s="230">
        <f t="shared" si="11"/>
        <v>0</v>
      </c>
      <c r="S25" s="230">
        <f t="shared" si="11"/>
        <v>0</v>
      </c>
      <c r="T25" s="185">
        <f ca="1">SUM($H25:(OFFSET($H25,0,AVANCE060826!$T$2)))</f>
        <v>0</v>
      </c>
      <c r="U25" s="903"/>
    </row>
    <row r="26" spans="1:21" ht="45" customHeight="1" x14ac:dyDescent="0.25">
      <c r="A26" s="179">
        <v>50100</v>
      </c>
      <c r="B26" s="232">
        <v>79001</v>
      </c>
      <c r="C26" s="173"/>
      <c r="D26" s="912"/>
      <c r="E26" s="908"/>
      <c r="F26" s="910"/>
      <c r="G26" s="230" t="s">
        <v>53</v>
      </c>
      <c r="H26" s="731"/>
      <c r="I26" s="731">
        <f t="shared" ref="I26:S26" si="12">VLOOKUP($A26&amp;$B26&amp;I$10,Base,9,FALSE)</f>
        <v>0</v>
      </c>
      <c r="J26" s="731">
        <f t="shared" si="12"/>
        <v>0</v>
      </c>
      <c r="K26" s="731">
        <f t="shared" si="12"/>
        <v>0</v>
      </c>
      <c r="L26" s="731">
        <f t="shared" si="12"/>
        <v>0</v>
      </c>
      <c r="M26" s="731">
        <f t="shared" si="12"/>
        <v>0</v>
      </c>
      <c r="N26" s="731">
        <f t="shared" si="12"/>
        <v>0</v>
      </c>
      <c r="O26" s="731">
        <f t="shared" si="12"/>
        <v>0</v>
      </c>
      <c r="P26" s="731">
        <f t="shared" si="12"/>
        <v>0</v>
      </c>
      <c r="Q26" s="731">
        <f t="shared" si="12"/>
        <v>0</v>
      </c>
      <c r="R26" s="731">
        <f t="shared" si="12"/>
        <v>0</v>
      </c>
      <c r="S26" s="731">
        <f t="shared" si="12"/>
        <v>0</v>
      </c>
      <c r="T26" s="732">
        <f t="shared" si="2"/>
        <v>0</v>
      </c>
      <c r="U26" s="903"/>
    </row>
    <row r="27" spans="1:21" ht="90.75" customHeight="1" x14ac:dyDescent="0.25">
      <c r="A27" s="729">
        <v>73110</v>
      </c>
      <c r="B27" s="730">
        <v>79306</v>
      </c>
      <c r="C27" s="173"/>
      <c r="D27" s="907" t="s">
        <v>254</v>
      </c>
      <c r="E27" s="907" t="s">
        <v>255</v>
      </c>
      <c r="F27" s="909">
        <f>SUM(I27:S27)</f>
        <v>125280</v>
      </c>
      <c r="G27" s="230" t="s">
        <v>52</v>
      </c>
      <c r="H27" s="230"/>
      <c r="I27" s="230">
        <f t="shared" ref="I27:S27" si="13">VLOOKUP($A27&amp;$B27&amp;I$10,Base,8,FALSE)</f>
        <v>0</v>
      </c>
      <c r="J27" s="230">
        <f t="shared" si="13"/>
        <v>0</v>
      </c>
      <c r="K27" s="230">
        <f t="shared" si="13"/>
        <v>31320</v>
      </c>
      <c r="L27" s="230">
        <f t="shared" si="13"/>
        <v>10440</v>
      </c>
      <c r="M27" s="230">
        <f t="shared" si="13"/>
        <v>10440</v>
      </c>
      <c r="N27" s="230">
        <f t="shared" si="13"/>
        <v>10440</v>
      </c>
      <c r="O27" s="230">
        <f t="shared" si="13"/>
        <v>0</v>
      </c>
      <c r="P27" s="230">
        <f t="shared" si="13"/>
        <v>20880</v>
      </c>
      <c r="Q27" s="230">
        <f t="shared" si="13"/>
        <v>10440</v>
      </c>
      <c r="R27" s="230">
        <f t="shared" si="13"/>
        <v>10440</v>
      </c>
      <c r="S27" s="230">
        <f t="shared" si="13"/>
        <v>20880</v>
      </c>
      <c r="T27" s="185">
        <f ca="1">SUM($H27:(OFFSET($H27,0,AVANCE060826!$T$2)))</f>
        <v>93960</v>
      </c>
      <c r="U27" s="235"/>
    </row>
    <row r="28" spans="1:21" ht="90.75" customHeight="1" x14ac:dyDescent="0.25">
      <c r="A28" s="729">
        <v>73110</v>
      </c>
      <c r="B28" s="730">
        <v>79306</v>
      </c>
      <c r="C28" s="173"/>
      <c r="D28" s="908"/>
      <c r="E28" s="908"/>
      <c r="F28" s="910"/>
      <c r="G28" s="731" t="s">
        <v>53</v>
      </c>
      <c r="H28" s="731"/>
      <c r="I28" s="731">
        <f t="shared" ref="I28:S28" si="14">VLOOKUP($A28&amp;$B28&amp;I$10,Base,9,FALSE)</f>
        <v>0</v>
      </c>
      <c r="J28" s="731">
        <f t="shared" si="14"/>
        <v>0</v>
      </c>
      <c r="K28" s="731">
        <f t="shared" si="14"/>
        <v>31320</v>
      </c>
      <c r="L28" s="731">
        <f t="shared" si="14"/>
        <v>10440</v>
      </c>
      <c r="M28" s="731">
        <f t="shared" si="14"/>
        <v>10440</v>
      </c>
      <c r="N28" s="731">
        <f t="shared" si="14"/>
        <v>10440</v>
      </c>
      <c r="O28" s="731">
        <f t="shared" si="14"/>
        <v>0</v>
      </c>
      <c r="P28" s="731">
        <f t="shared" si="14"/>
        <v>20880</v>
      </c>
      <c r="Q28" s="731">
        <f t="shared" si="14"/>
        <v>0</v>
      </c>
      <c r="R28" s="731">
        <f t="shared" si="14"/>
        <v>0</v>
      </c>
      <c r="S28" s="731">
        <f t="shared" si="14"/>
        <v>0</v>
      </c>
      <c r="T28" s="732">
        <f t="shared" si="2"/>
        <v>83520</v>
      </c>
      <c r="U28" s="235"/>
    </row>
    <row r="29" spans="1:21" ht="90.75" customHeight="1" x14ac:dyDescent="0.25">
      <c r="A29" s="179">
        <v>73110</v>
      </c>
      <c r="B29" s="232">
        <v>79307</v>
      </c>
      <c r="C29" s="173"/>
      <c r="D29" s="907" t="s">
        <v>256</v>
      </c>
      <c r="E29" s="907" t="s">
        <v>255</v>
      </c>
      <c r="F29" s="909">
        <f>SUM(I29:S29)</f>
        <v>125280</v>
      </c>
      <c r="G29" s="230" t="s">
        <v>52</v>
      </c>
      <c r="H29" s="230"/>
      <c r="I29" s="230">
        <f t="shared" ref="I29:S29" si="15">VLOOKUP($A29&amp;$B29&amp;I$10,Base,8,FALSE)</f>
        <v>0</v>
      </c>
      <c r="J29" s="230">
        <f t="shared" si="15"/>
        <v>0</v>
      </c>
      <c r="K29" s="230">
        <f t="shared" si="15"/>
        <v>31320</v>
      </c>
      <c r="L29" s="230">
        <f t="shared" si="15"/>
        <v>0</v>
      </c>
      <c r="M29" s="230">
        <f t="shared" si="15"/>
        <v>20880</v>
      </c>
      <c r="N29" s="230">
        <f t="shared" si="15"/>
        <v>10440</v>
      </c>
      <c r="O29" s="230">
        <f t="shared" si="15"/>
        <v>0</v>
      </c>
      <c r="P29" s="230">
        <f t="shared" si="15"/>
        <v>10440</v>
      </c>
      <c r="Q29" s="230">
        <f t="shared" si="15"/>
        <v>20880</v>
      </c>
      <c r="R29" s="230">
        <f t="shared" si="15"/>
        <v>10440</v>
      </c>
      <c r="S29" s="230">
        <f t="shared" si="15"/>
        <v>20880</v>
      </c>
      <c r="T29" s="185">
        <f ca="1">SUM($H29:(OFFSET($H29,0,AVANCE060826!$T$2)))</f>
        <v>93960</v>
      </c>
      <c r="U29" s="235"/>
    </row>
    <row r="30" spans="1:21" ht="90.75" customHeight="1" x14ac:dyDescent="0.25">
      <c r="A30" s="179">
        <v>73110</v>
      </c>
      <c r="B30" s="232">
        <v>79307</v>
      </c>
      <c r="C30" s="173"/>
      <c r="D30" s="908"/>
      <c r="E30" s="908"/>
      <c r="F30" s="910"/>
      <c r="G30" s="230" t="s">
        <v>53</v>
      </c>
      <c r="H30" s="230"/>
      <c r="I30" s="230">
        <f t="shared" ref="I30:S30" si="16">VLOOKUP($A30&amp;$B30&amp;I$10,Base,9,FALSE)</f>
        <v>0</v>
      </c>
      <c r="J30" s="230">
        <f t="shared" si="16"/>
        <v>0</v>
      </c>
      <c r="K30" s="230">
        <f t="shared" si="16"/>
        <v>31320</v>
      </c>
      <c r="L30" s="230">
        <f t="shared" si="16"/>
        <v>0</v>
      </c>
      <c r="M30" s="230">
        <f t="shared" si="16"/>
        <v>20880</v>
      </c>
      <c r="N30" s="230">
        <f t="shared" si="16"/>
        <v>10440</v>
      </c>
      <c r="O30" s="230">
        <f t="shared" si="16"/>
        <v>0</v>
      </c>
      <c r="P30" s="230">
        <f t="shared" si="16"/>
        <v>10440</v>
      </c>
      <c r="Q30" s="230">
        <f t="shared" si="16"/>
        <v>0</v>
      </c>
      <c r="R30" s="230">
        <f t="shared" si="16"/>
        <v>0</v>
      </c>
      <c r="S30" s="230">
        <f t="shared" si="16"/>
        <v>0</v>
      </c>
      <c r="T30" s="185">
        <f t="shared" si="2"/>
        <v>73080</v>
      </c>
      <c r="U30" s="235"/>
    </row>
    <row r="31" spans="1:21" ht="90.75" customHeight="1" x14ac:dyDescent="0.25">
      <c r="A31" s="179">
        <v>73200</v>
      </c>
      <c r="B31" s="252" t="s">
        <v>76</v>
      </c>
      <c r="C31" s="173"/>
      <c r="D31" s="907" t="s">
        <v>257</v>
      </c>
      <c r="E31" s="907" t="s">
        <v>255</v>
      </c>
      <c r="F31" s="909">
        <f>SUM(I31:S31)</f>
        <v>73080</v>
      </c>
      <c r="G31" s="230" t="s">
        <v>52</v>
      </c>
      <c r="H31" s="230"/>
      <c r="I31" s="230">
        <f t="shared" ref="I31:S31" si="17">VLOOKUP($A31&amp;$B31&amp;I$10,Base,8,FALSE)</f>
        <v>0</v>
      </c>
      <c r="J31" s="230">
        <f t="shared" si="17"/>
        <v>0</v>
      </c>
      <c r="K31" s="230">
        <f t="shared" si="17"/>
        <v>18270</v>
      </c>
      <c r="L31" s="230">
        <f t="shared" si="17"/>
        <v>0</v>
      </c>
      <c r="M31" s="230">
        <f t="shared" si="17"/>
        <v>12180</v>
      </c>
      <c r="N31" s="230">
        <f t="shared" si="17"/>
        <v>6090</v>
      </c>
      <c r="O31" s="230">
        <f t="shared" si="17"/>
        <v>0</v>
      </c>
      <c r="P31" s="230">
        <f t="shared" si="17"/>
        <v>12180</v>
      </c>
      <c r="Q31" s="230">
        <f t="shared" si="17"/>
        <v>6090</v>
      </c>
      <c r="R31" s="230">
        <f t="shared" si="17"/>
        <v>6090</v>
      </c>
      <c r="S31" s="230">
        <f t="shared" si="17"/>
        <v>12180</v>
      </c>
      <c r="T31" s="185">
        <f ca="1">SUM($H31:(OFFSET($H31,0,AVANCE060826!$T$2)))</f>
        <v>54810</v>
      </c>
      <c r="U31" s="235"/>
    </row>
    <row r="32" spans="1:21" ht="90.75" customHeight="1" x14ac:dyDescent="0.25">
      <c r="A32" s="179">
        <v>73200</v>
      </c>
      <c r="B32" s="252" t="s">
        <v>76</v>
      </c>
      <c r="C32" s="173"/>
      <c r="D32" s="908"/>
      <c r="E32" s="908"/>
      <c r="F32" s="910"/>
      <c r="G32" s="230" t="s">
        <v>53</v>
      </c>
      <c r="H32" s="731"/>
      <c r="I32" s="731">
        <f t="shared" ref="I32:S32" si="18">VLOOKUP($A32&amp;$B32&amp;I$10,Base,9,FALSE)</f>
        <v>0</v>
      </c>
      <c r="J32" s="731">
        <f t="shared" si="18"/>
        <v>0</v>
      </c>
      <c r="K32" s="731">
        <f t="shared" si="18"/>
        <v>18270</v>
      </c>
      <c r="L32" s="731">
        <f t="shared" si="18"/>
        <v>0</v>
      </c>
      <c r="M32" s="731">
        <f t="shared" si="18"/>
        <v>12180</v>
      </c>
      <c r="N32" s="731">
        <f t="shared" si="18"/>
        <v>6090</v>
      </c>
      <c r="O32" s="731">
        <f t="shared" si="18"/>
        <v>0</v>
      </c>
      <c r="P32" s="731">
        <f t="shared" si="18"/>
        <v>12180</v>
      </c>
      <c r="Q32" s="731">
        <f t="shared" si="18"/>
        <v>0</v>
      </c>
      <c r="R32" s="731">
        <f t="shared" si="18"/>
        <v>0</v>
      </c>
      <c r="S32" s="731">
        <f t="shared" si="18"/>
        <v>0</v>
      </c>
      <c r="T32" s="185">
        <f t="shared" si="2"/>
        <v>48720</v>
      </c>
      <c r="U32" s="235"/>
    </row>
    <row r="33" spans="1:21" ht="90.75" customHeight="1" x14ac:dyDescent="0.25">
      <c r="A33" s="729">
        <v>73200</v>
      </c>
      <c r="B33" s="730" t="s">
        <v>75</v>
      </c>
      <c r="C33" s="173"/>
      <c r="D33" s="907" t="s">
        <v>258</v>
      </c>
      <c r="E33" s="907" t="s">
        <v>255</v>
      </c>
      <c r="F33" s="909">
        <f>SUM(I33:S33)</f>
        <v>125280</v>
      </c>
      <c r="G33" s="230" t="s">
        <v>52</v>
      </c>
      <c r="H33" s="230"/>
      <c r="I33" s="230">
        <f t="shared" ref="I33:S33" si="19">VLOOKUP($A33&amp;$B33&amp;I$10,Base,8,FALSE)</f>
        <v>0</v>
      </c>
      <c r="J33" s="230">
        <f t="shared" si="19"/>
        <v>0</v>
      </c>
      <c r="K33" s="230">
        <f t="shared" si="19"/>
        <v>0</v>
      </c>
      <c r="L33" s="230">
        <f t="shared" si="19"/>
        <v>41760</v>
      </c>
      <c r="M33" s="230">
        <f t="shared" si="19"/>
        <v>10440</v>
      </c>
      <c r="N33" s="230">
        <f t="shared" si="19"/>
        <v>0</v>
      </c>
      <c r="O33" s="230">
        <f t="shared" si="19"/>
        <v>10440</v>
      </c>
      <c r="P33" s="230">
        <f t="shared" si="19"/>
        <v>20880</v>
      </c>
      <c r="Q33" s="230">
        <f t="shared" si="19"/>
        <v>10440</v>
      </c>
      <c r="R33" s="230">
        <f t="shared" si="19"/>
        <v>10440</v>
      </c>
      <c r="S33" s="230">
        <f t="shared" si="19"/>
        <v>20880</v>
      </c>
      <c r="T33" s="185">
        <f ca="1">SUM($H33:(OFFSET($H33,0,AVANCE060826!$T$2)))</f>
        <v>93960</v>
      </c>
      <c r="U33" s="235"/>
    </row>
    <row r="34" spans="1:21" ht="90.75" customHeight="1" x14ac:dyDescent="0.25">
      <c r="A34" s="729">
        <v>73200</v>
      </c>
      <c r="B34" s="730" t="s">
        <v>75</v>
      </c>
      <c r="C34" s="173"/>
      <c r="D34" s="908"/>
      <c r="E34" s="908"/>
      <c r="F34" s="910"/>
      <c r="G34" s="230" t="s">
        <v>53</v>
      </c>
      <c r="H34" s="731"/>
      <c r="I34" s="731">
        <f t="shared" ref="I34:S34" si="20">VLOOKUP($A34&amp;$B34&amp;I$10,Base,9,FALSE)</f>
        <v>0</v>
      </c>
      <c r="J34" s="731">
        <f t="shared" si="20"/>
        <v>0</v>
      </c>
      <c r="K34" s="731">
        <f t="shared" si="20"/>
        <v>0</v>
      </c>
      <c r="L34" s="731">
        <f t="shared" si="20"/>
        <v>41760</v>
      </c>
      <c r="M34" s="731">
        <f t="shared" si="20"/>
        <v>10440</v>
      </c>
      <c r="N34" s="731">
        <f t="shared" si="20"/>
        <v>0</v>
      </c>
      <c r="O34" s="731">
        <f t="shared" si="20"/>
        <v>10440</v>
      </c>
      <c r="P34" s="731">
        <f t="shared" si="20"/>
        <v>20880</v>
      </c>
      <c r="Q34" s="731">
        <f t="shared" si="20"/>
        <v>0</v>
      </c>
      <c r="R34" s="731">
        <f t="shared" si="20"/>
        <v>0</v>
      </c>
      <c r="S34" s="731">
        <f t="shared" si="20"/>
        <v>0</v>
      </c>
      <c r="T34" s="185">
        <f t="shared" si="2"/>
        <v>83520</v>
      </c>
      <c r="U34" s="235"/>
    </row>
    <row r="35" spans="1:21" ht="75" customHeight="1" x14ac:dyDescent="0.25">
      <c r="A35" s="195">
        <v>73110</v>
      </c>
      <c r="B35" s="232" t="s">
        <v>77</v>
      </c>
      <c r="C35" s="173"/>
      <c r="D35" s="907" t="s">
        <v>259</v>
      </c>
      <c r="E35" s="907" t="s">
        <v>255</v>
      </c>
      <c r="F35" s="909">
        <f>SUM(H35:S35)</f>
        <v>552624</v>
      </c>
      <c r="G35" s="230" t="s">
        <v>52</v>
      </c>
      <c r="H35" s="230"/>
      <c r="I35" s="230">
        <f t="shared" ref="I35:S35" si="21">VLOOKUP($A35&amp;$B35&amp;I$10,Base,8,FALSE)</f>
        <v>42875.98</v>
      </c>
      <c r="J35" s="230">
        <f t="shared" si="21"/>
        <v>0</v>
      </c>
      <c r="K35" s="230">
        <f t="shared" si="21"/>
        <v>0</v>
      </c>
      <c r="L35" s="230">
        <f t="shared" si="21"/>
        <v>0</v>
      </c>
      <c r="M35" s="230">
        <f t="shared" si="21"/>
        <v>0</v>
      </c>
      <c r="N35" s="230">
        <f t="shared" si="21"/>
        <v>214379.91</v>
      </c>
      <c r="O35" s="230">
        <f t="shared" si="21"/>
        <v>42875.98</v>
      </c>
      <c r="P35" s="230">
        <f t="shared" si="21"/>
        <v>42875.98</v>
      </c>
      <c r="Q35" s="230">
        <f t="shared" si="21"/>
        <v>71460.149999999994</v>
      </c>
      <c r="R35" s="230">
        <f t="shared" si="21"/>
        <v>46052</v>
      </c>
      <c r="S35" s="230">
        <f t="shared" si="21"/>
        <v>92104</v>
      </c>
      <c r="T35" s="185">
        <f ca="1">SUM($H35:(OFFSET($H35,0,AVANCE060826!$T$2)))</f>
        <v>414468</v>
      </c>
      <c r="U35" s="235"/>
    </row>
    <row r="36" spans="1:21" ht="71.25" customHeight="1" x14ac:dyDescent="0.25">
      <c r="A36" s="195">
        <v>73110</v>
      </c>
      <c r="B36" s="232" t="s">
        <v>77</v>
      </c>
      <c r="C36" s="173"/>
      <c r="D36" s="908"/>
      <c r="E36" s="908"/>
      <c r="F36" s="910"/>
      <c r="G36" s="230" t="s">
        <v>53</v>
      </c>
      <c r="H36" s="230"/>
      <c r="I36" s="731">
        <f t="shared" ref="I36:S36" si="22">VLOOKUP($A36&amp;$B36&amp;I$10,Base,9,FALSE)</f>
        <v>42875.98</v>
      </c>
      <c r="J36" s="731">
        <f t="shared" si="22"/>
        <v>0</v>
      </c>
      <c r="K36" s="731">
        <f t="shared" si="22"/>
        <v>0</v>
      </c>
      <c r="L36" s="731">
        <f t="shared" si="22"/>
        <v>0</v>
      </c>
      <c r="M36" s="731">
        <f t="shared" si="22"/>
        <v>0</v>
      </c>
      <c r="N36" s="731">
        <f t="shared" si="22"/>
        <v>214379.91</v>
      </c>
      <c r="O36" s="731">
        <f t="shared" si="22"/>
        <v>42875.98</v>
      </c>
      <c r="P36" s="731">
        <f t="shared" si="22"/>
        <v>42875.98</v>
      </c>
      <c r="Q36" s="731">
        <f t="shared" si="22"/>
        <v>0</v>
      </c>
      <c r="R36" s="731">
        <f t="shared" si="22"/>
        <v>0</v>
      </c>
      <c r="S36" s="731">
        <f t="shared" si="22"/>
        <v>0</v>
      </c>
      <c r="T36" s="185">
        <f t="shared" si="2"/>
        <v>343007.85</v>
      </c>
      <c r="U36" s="235"/>
    </row>
    <row r="37" spans="1:21" ht="36.75" customHeight="1" x14ac:dyDescent="0.25">
      <c r="E37" s="913" t="s">
        <v>51</v>
      </c>
      <c r="F37" s="914">
        <f>SUM(F13:F36)</f>
        <v>3083016</v>
      </c>
      <c r="G37" s="230" t="s">
        <v>52</v>
      </c>
      <c r="H37" s="253">
        <f>+H13+H15+H17+H19+H23+H27+H29+H31+H33+H35</f>
        <v>0</v>
      </c>
      <c r="I37" s="253">
        <f t="shared" ref="I37:T37" si="23">+I13+I15+I17+I19+I23+I27+I29+I31+I33+I35</f>
        <v>42875.98</v>
      </c>
      <c r="J37" s="253">
        <f t="shared" si="23"/>
        <v>64071.99</v>
      </c>
      <c r="K37" s="253">
        <f t="shared" si="23"/>
        <v>319397.94</v>
      </c>
      <c r="L37" s="253">
        <f t="shared" si="23"/>
        <v>428359.98</v>
      </c>
      <c r="M37" s="253">
        <f t="shared" si="23"/>
        <v>223619.96000000002</v>
      </c>
      <c r="N37" s="253">
        <f t="shared" si="23"/>
        <v>411029.9</v>
      </c>
      <c r="O37" s="253">
        <f t="shared" si="23"/>
        <v>156555.99000000002</v>
      </c>
      <c r="P37" s="253">
        <f t="shared" si="23"/>
        <v>343375.94</v>
      </c>
      <c r="Q37" s="253">
        <f t="shared" si="23"/>
        <v>288999.32</v>
      </c>
      <c r="R37" s="253">
        <f t="shared" si="23"/>
        <v>253143</v>
      </c>
      <c r="S37" s="253">
        <f t="shared" si="23"/>
        <v>551586</v>
      </c>
      <c r="T37" s="253">
        <f t="shared" ca="1" si="23"/>
        <v>2278287</v>
      </c>
    </row>
    <row r="38" spans="1:21" ht="42" customHeight="1" x14ac:dyDescent="0.25">
      <c r="E38" s="913"/>
      <c r="F38" s="914"/>
      <c r="G38" s="230" t="s">
        <v>53</v>
      </c>
      <c r="H38" s="253">
        <f t="shared" ref="H38:T38" si="24">+H14+H16+H18+H20+H24+H28+H30+H32+H34+H36</f>
        <v>0</v>
      </c>
      <c r="I38" s="253">
        <f t="shared" si="24"/>
        <v>42875.98</v>
      </c>
      <c r="J38" s="253">
        <f t="shared" si="24"/>
        <v>64071.99</v>
      </c>
      <c r="K38" s="253">
        <f t="shared" si="24"/>
        <v>319397.94</v>
      </c>
      <c r="L38" s="253">
        <f t="shared" si="24"/>
        <v>428359.98</v>
      </c>
      <c r="M38" s="253">
        <f t="shared" si="24"/>
        <v>223619.96000000002</v>
      </c>
      <c r="N38" s="253">
        <f t="shared" si="24"/>
        <v>411029.9</v>
      </c>
      <c r="O38" s="253">
        <f t="shared" si="24"/>
        <v>156555.99000000002</v>
      </c>
      <c r="P38" s="253">
        <f t="shared" si="24"/>
        <v>343375.94</v>
      </c>
      <c r="Q38" s="253">
        <f t="shared" si="24"/>
        <v>0</v>
      </c>
      <c r="R38" s="253">
        <f t="shared" si="24"/>
        <v>0</v>
      </c>
      <c r="S38" s="253">
        <f t="shared" si="24"/>
        <v>0</v>
      </c>
      <c r="T38" s="253">
        <f t="shared" si="24"/>
        <v>1989287.6800000002</v>
      </c>
    </row>
    <row r="39" spans="1:21" ht="64.5" customHeight="1" x14ac:dyDescent="0.25">
      <c r="F39" s="9"/>
      <c r="T39" s="9"/>
    </row>
  </sheetData>
  <autoFilter ref="B11:U38">
    <filterColumn colId="0" showButton="0"/>
  </autoFilter>
  <mergeCells count="63">
    <mergeCell ref="E37:E38"/>
    <mergeCell ref="F37:F38"/>
    <mergeCell ref="D35:D36"/>
    <mergeCell ref="E35:E36"/>
    <mergeCell ref="F35:F36"/>
    <mergeCell ref="D33:D34"/>
    <mergeCell ref="E33:E34"/>
    <mergeCell ref="F33:F34"/>
    <mergeCell ref="D31:D32"/>
    <mergeCell ref="E31:E32"/>
    <mergeCell ref="F31:F32"/>
    <mergeCell ref="D29:D30"/>
    <mergeCell ref="E29:E30"/>
    <mergeCell ref="F29:F30"/>
    <mergeCell ref="U25:U26"/>
    <mergeCell ref="D27:D28"/>
    <mergeCell ref="E27:E28"/>
    <mergeCell ref="F27:F28"/>
    <mergeCell ref="D25:D26"/>
    <mergeCell ref="E25:E26"/>
    <mergeCell ref="F25:F26"/>
    <mergeCell ref="U21:U22"/>
    <mergeCell ref="D23:D24"/>
    <mergeCell ref="E23:E24"/>
    <mergeCell ref="F23:F24"/>
    <mergeCell ref="D21:D22"/>
    <mergeCell ref="E21:E22"/>
    <mergeCell ref="F21:F22"/>
    <mergeCell ref="U17:U18"/>
    <mergeCell ref="D19:D20"/>
    <mergeCell ref="E19:E20"/>
    <mergeCell ref="F19:F20"/>
    <mergeCell ref="U19:U20"/>
    <mergeCell ref="D17:D18"/>
    <mergeCell ref="E17:E18"/>
    <mergeCell ref="F17:F18"/>
    <mergeCell ref="N11:N12"/>
    <mergeCell ref="O11:O12"/>
    <mergeCell ref="P11:P12"/>
    <mergeCell ref="U13:U14"/>
    <mergeCell ref="D15:D16"/>
    <mergeCell ref="E15:E16"/>
    <mergeCell ref="F15:F16"/>
    <mergeCell ref="U15:U16"/>
    <mergeCell ref="D13:D14"/>
    <mergeCell ref="E13:E14"/>
    <mergeCell ref="F13:F14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Q11:Q12"/>
    <mergeCell ref="R11:R12"/>
    <mergeCell ref="S11:S12"/>
    <mergeCell ref="U11:U12"/>
    <mergeCell ref="K11:K12"/>
    <mergeCell ref="L11:L12"/>
    <mergeCell ref="M11:M12"/>
  </mergeCells>
  <printOptions horizontalCentered="1" verticalCentered="1"/>
  <pageMargins left="0.98425196850393704" right="0.98425196850393704" top="0.98425196850393704" bottom="0.98425196850393704" header="0.51181102362204722" footer="0.51181102362204722"/>
  <pageSetup scale="27" fitToHeight="0" orientation="landscape" r:id="rId1"/>
  <rowBreaks count="1" manualBreakCount="1">
    <brk id="39" min="3" max="24" man="1"/>
  </rowBreaks>
  <ignoredErrors>
    <ignoredError sqref="K21:S21 I22:K22 T14:T18 T24:T28 T30:T34 Q22:S22" formula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topLeftCell="A9" zoomScale="60" zoomScaleNormal="60" zoomScaleSheetLayoutView="80" zoomScalePageLayoutView="80" workbookViewId="0">
      <pane xSplit="2" ySplit="3" topLeftCell="C12" activePane="bottomRight" state="frozen"/>
      <selection activeCell="A9" sqref="A9"/>
      <selection pane="topRight" activeCell="C9" sqref="C9"/>
      <selection pane="bottomLeft" activeCell="A12" sqref="A12"/>
      <selection pane="bottomRight" activeCell="F16" sqref="F16"/>
    </sheetView>
  </sheetViews>
  <sheetFormatPr baseColWidth="10" defaultRowHeight="15" x14ac:dyDescent="0.25"/>
  <cols>
    <col min="1" max="1" width="9.285156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6.85546875" customWidth="1"/>
    <col min="8" max="8" width="21.85546875" customWidth="1"/>
    <col min="9" max="9" width="16.7109375" customWidth="1"/>
    <col min="10" max="10" width="17.140625" customWidth="1"/>
    <col min="11" max="11" width="11.7109375" hidden="1" customWidth="1"/>
    <col min="12" max="12" width="10.28515625" hidden="1" customWidth="1"/>
    <col min="13" max="13" width="47.140625" customWidth="1"/>
    <col min="14" max="14" width="1.85546875" customWidth="1"/>
    <col min="15" max="15" width="28" customWidth="1"/>
    <col min="16" max="16365" width="11.42578125" customWidth="1"/>
  </cols>
  <sheetData>
    <row r="1" spans="1:17" ht="18" x14ac:dyDescent="0.25">
      <c r="D1" s="10" t="s">
        <v>25</v>
      </c>
      <c r="M1" s="11"/>
    </row>
    <row r="2" spans="1:17" ht="18" x14ac:dyDescent="0.25">
      <c r="D2" s="10" t="s">
        <v>24</v>
      </c>
    </row>
    <row r="3" spans="1:17" ht="18" x14ac:dyDescent="0.25">
      <c r="D3" s="10" t="s">
        <v>23</v>
      </c>
    </row>
    <row r="4" spans="1:17" ht="18" x14ac:dyDescent="0.25">
      <c r="D4" s="10" t="s">
        <v>22</v>
      </c>
      <c r="K4" s="9"/>
      <c r="L4" s="9"/>
    </row>
    <row r="5" spans="1:17" ht="18" x14ac:dyDescent="0.25">
      <c r="D5" s="10" t="s">
        <v>21</v>
      </c>
    </row>
    <row r="6" spans="1:17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7" ht="21" x14ac:dyDescent="0.35">
      <c r="D7" s="826" t="s">
        <v>164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7" ht="18" x14ac:dyDescent="0.25">
      <c r="D8" s="39" t="s">
        <v>31</v>
      </c>
      <c r="E8" s="10" t="s">
        <v>127</v>
      </c>
      <c r="H8" s="9"/>
      <c r="I8" s="9"/>
    </row>
    <row r="9" spans="1:17" ht="15.75" thickBot="1" x14ac:dyDescent="0.3">
      <c r="I9" s="9"/>
    </row>
    <row r="10" spans="1:17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89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7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7" ht="72.75" customHeight="1" thickTop="1" thickBot="1" x14ac:dyDescent="0.3">
      <c r="A12" s="227" t="s">
        <v>264</v>
      </c>
      <c r="B12" s="228">
        <v>200200</v>
      </c>
      <c r="C12" s="56" t="s">
        <v>265</v>
      </c>
      <c r="D12" s="240" t="s">
        <v>266</v>
      </c>
      <c r="E12" s="243" t="s">
        <v>267</v>
      </c>
      <c r="F12" s="278">
        <f>CHIH_Calendario!F12</f>
        <v>155316</v>
      </c>
      <c r="G12" s="278">
        <f>+F12/12</f>
        <v>12943</v>
      </c>
      <c r="H12" s="67">
        <f ca="1">CHIH_Calendario!T12</f>
        <v>116487</v>
      </c>
      <c r="I12" s="67">
        <f>CHIH_Calendario!T13</f>
        <v>116479.07999999999</v>
      </c>
      <c r="J12" s="67">
        <f t="shared" ref="J12:J19" ca="1" si="0">+I12-H12</f>
        <v>-7.9200000000128057</v>
      </c>
      <c r="K12" s="67">
        <f ca="1">+J12/H12*100</f>
        <v>-6.7990419531903188E-3</v>
      </c>
      <c r="L12" s="67">
        <f ca="1">+I12/H12*100</f>
        <v>99.993200958046813</v>
      </c>
      <c r="M12" s="255" t="s">
        <v>778</v>
      </c>
    </row>
    <row r="13" spans="1:17" ht="81" customHeight="1" thickTop="1" thickBot="1" x14ac:dyDescent="0.3">
      <c r="A13" s="227" t="s">
        <v>269</v>
      </c>
      <c r="B13" s="228">
        <v>200200</v>
      </c>
      <c r="C13" s="155" t="s">
        <v>270</v>
      </c>
      <c r="D13" s="240" t="s">
        <v>271</v>
      </c>
      <c r="E13" s="243" t="s">
        <v>272</v>
      </c>
      <c r="F13" s="278">
        <f>CHIH_Calendario!F14</f>
        <v>108779.99999999999</v>
      </c>
      <c r="G13" s="278">
        <f t="shared" ref="G13:G26" si="1">+F13/12</f>
        <v>9064.9999999999982</v>
      </c>
      <c r="H13" s="67">
        <f ca="1">CHIH_Calendario!T14</f>
        <v>81584.999999999985</v>
      </c>
      <c r="I13" s="67">
        <f>CHIH_Calendario!T15</f>
        <v>72513.799999999988</v>
      </c>
      <c r="J13" s="67">
        <f t="shared" ca="1" si="0"/>
        <v>-9071.1999999999971</v>
      </c>
      <c r="K13" s="67">
        <f t="shared" ref="K13:K28" ca="1" si="2">+J13/H13*100</f>
        <v>-11.118710547281974</v>
      </c>
      <c r="L13" s="67">
        <f t="shared" ref="L13:L28" ca="1" si="3">+I13/H13*100</f>
        <v>88.881289452718022</v>
      </c>
      <c r="M13" s="255" t="s">
        <v>778</v>
      </c>
    </row>
    <row r="14" spans="1:17" ht="70.5" customHeight="1" thickTop="1" thickBot="1" x14ac:dyDescent="0.3">
      <c r="A14" s="227" t="s">
        <v>274</v>
      </c>
      <c r="B14" s="228">
        <v>200200</v>
      </c>
      <c r="C14" s="56" t="s">
        <v>275</v>
      </c>
      <c r="D14" s="240" t="s">
        <v>276</v>
      </c>
      <c r="E14" s="243" t="s">
        <v>277</v>
      </c>
      <c r="F14" s="278">
        <f>CHIH_Calendario!F16</f>
        <v>51156</v>
      </c>
      <c r="G14" s="278">
        <f t="shared" si="1"/>
        <v>4263</v>
      </c>
      <c r="H14" s="67">
        <f ca="1">CHIH_Calendario!T16</f>
        <v>38367</v>
      </c>
      <c r="I14" s="67">
        <f>CHIH_Calendario!T17</f>
        <v>21315</v>
      </c>
      <c r="J14" s="67">
        <f t="shared" ca="1" si="0"/>
        <v>-17052</v>
      </c>
      <c r="K14" s="67">
        <f t="shared" ca="1" si="2"/>
        <v>-44.444444444444443</v>
      </c>
      <c r="L14" s="67">
        <f t="shared" ca="1" si="3"/>
        <v>55.555555555555557</v>
      </c>
      <c r="M14" s="255" t="s">
        <v>991</v>
      </c>
      <c r="P14" s="252"/>
      <c r="Q14" s="280"/>
    </row>
    <row r="15" spans="1:17" ht="57.75" customHeight="1" thickTop="1" thickBot="1" x14ac:dyDescent="0.3">
      <c r="A15" s="227" t="s">
        <v>279</v>
      </c>
      <c r="B15" s="228">
        <v>200200</v>
      </c>
      <c r="C15" s="56" t="s">
        <v>280</v>
      </c>
      <c r="D15" s="240" t="s">
        <v>281</v>
      </c>
      <c r="E15" s="243" t="s">
        <v>282</v>
      </c>
      <c r="F15" s="278">
        <f>CHIH_Calendario!F18</f>
        <v>207707.99999999997</v>
      </c>
      <c r="G15" s="278">
        <f t="shared" si="1"/>
        <v>17308.999999999996</v>
      </c>
      <c r="H15" s="67">
        <f ca="1">CHIH_Calendario!T18</f>
        <v>155780.99999999997</v>
      </c>
      <c r="I15" s="67">
        <f>CHIH_Calendario!T19</f>
        <v>121154.31999999998</v>
      </c>
      <c r="J15" s="67">
        <f t="shared" ca="1" si="0"/>
        <v>-34626.679999999993</v>
      </c>
      <c r="K15" s="67">
        <f t="shared" ca="1" si="2"/>
        <v>-22.227794146911371</v>
      </c>
      <c r="L15" s="67">
        <f t="shared" ca="1" si="3"/>
        <v>77.772205853088622</v>
      </c>
      <c r="M15" s="255" t="s">
        <v>318</v>
      </c>
      <c r="P15" s="252"/>
      <c r="Q15" s="280"/>
    </row>
    <row r="16" spans="1:17" ht="58.5" customHeight="1" thickTop="1" thickBot="1" x14ac:dyDescent="0.3">
      <c r="A16" s="227" t="s">
        <v>283</v>
      </c>
      <c r="B16" s="228">
        <v>900110</v>
      </c>
      <c r="C16" s="155" t="s">
        <v>284</v>
      </c>
      <c r="D16" s="240" t="s">
        <v>285</v>
      </c>
      <c r="E16" s="241" t="s">
        <v>286</v>
      </c>
      <c r="F16" s="278">
        <f>CHIH_Calendario!F20</f>
        <v>1224720</v>
      </c>
      <c r="G16" s="278">
        <f t="shared" si="1"/>
        <v>102060</v>
      </c>
      <c r="H16" s="67">
        <f ca="1">CHIH_Calendario!T20</f>
        <v>1020600</v>
      </c>
      <c r="I16" s="67">
        <f>CHIH_Calendario!T21</f>
        <v>918540</v>
      </c>
      <c r="J16" s="67">
        <f t="shared" ca="1" si="0"/>
        <v>-102060</v>
      </c>
      <c r="K16" s="67">
        <f t="shared" ca="1" si="2"/>
        <v>-10</v>
      </c>
      <c r="L16" s="67">
        <f t="shared" ca="1" si="3"/>
        <v>90</v>
      </c>
      <c r="M16" s="255" t="s">
        <v>992</v>
      </c>
      <c r="P16" s="252"/>
      <c r="Q16" s="280"/>
    </row>
    <row r="17" spans="1:17" ht="64.5" customHeight="1" thickTop="1" thickBot="1" x14ac:dyDescent="0.3">
      <c r="A17" s="227" t="s">
        <v>288</v>
      </c>
      <c r="B17" s="228">
        <v>900110</v>
      </c>
      <c r="C17" s="56" t="s">
        <v>289</v>
      </c>
      <c r="D17" s="240" t="s">
        <v>290</v>
      </c>
      <c r="E17" s="241" t="s">
        <v>190</v>
      </c>
      <c r="F17" s="278">
        <f>CHIH_Calendario!F22</f>
        <v>282948</v>
      </c>
      <c r="G17" s="278">
        <f t="shared" si="1"/>
        <v>23579</v>
      </c>
      <c r="H17" s="67">
        <f ca="1">CHIH_Calendario!T22</f>
        <v>212211</v>
      </c>
      <c r="I17" s="67">
        <f>CHIH_Calendario!T23</f>
        <v>188625.2</v>
      </c>
      <c r="J17" s="67">
        <f t="shared" ca="1" si="0"/>
        <v>-23585.799999999988</v>
      </c>
      <c r="K17" s="67">
        <f t="shared" ca="1" si="2"/>
        <v>-11.114315469037885</v>
      </c>
      <c r="L17" s="67">
        <f t="shared" ca="1" si="3"/>
        <v>88.885684530962124</v>
      </c>
      <c r="M17" s="255" t="s">
        <v>778</v>
      </c>
      <c r="P17" s="252"/>
      <c r="Q17" s="280"/>
    </row>
    <row r="18" spans="1:17" ht="42.75" customHeight="1" thickTop="1" thickBot="1" x14ac:dyDescent="0.3">
      <c r="A18" s="227" t="s">
        <v>291</v>
      </c>
      <c r="B18" s="228">
        <v>900110</v>
      </c>
      <c r="C18" s="56" t="s">
        <v>292</v>
      </c>
      <c r="D18" s="240" t="s">
        <v>293</v>
      </c>
      <c r="E18" s="241" t="s">
        <v>286</v>
      </c>
      <c r="F18" s="278">
        <f>CHIH_Calendario!F24</f>
        <v>469596</v>
      </c>
      <c r="G18" s="278">
        <f t="shared" si="1"/>
        <v>39133</v>
      </c>
      <c r="H18" s="67">
        <f ca="1">CHIH_Calendario!T24</f>
        <v>352197</v>
      </c>
      <c r="I18" s="67">
        <f>CHIH_Calendario!T25</f>
        <v>352193.39999999997</v>
      </c>
      <c r="J18" s="67">
        <f t="shared" ca="1" si="0"/>
        <v>-3.6000000000349246</v>
      </c>
      <c r="K18" s="67">
        <f t="shared" ca="1" si="2"/>
        <v>-1.0221552142792032E-3</v>
      </c>
      <c r="L18" s="67">
        <f t="shared" ca="1" si="3"/>
        <v>99.998977844785713</v>
      </c>
      <c r="M18" s="255" t="s">
        <v>778</v>
      </c>
      <c r="P18" s="252"/>
      <c r="Q18" s="280"/>
    </row>
    <row r="19" spans="1:17" ht="71.25" customHeight="1" thickTop="1" thickBot="1" x14ac:dyDescent="0.3">
      <c r="A19" s="227" t="s">
        <v>294</v>
      </c>
      <c r="B19" s="228">
        <v>900110</v>
      </c>
      <c r="C19" s="267" t="s">
        <v>280</v>
      </c>
      <c r="D19" s="240" t="s">
        <v>295</v>
      </c>
      <c r="E19" s="241" t="s">
        <v>239</v>
      </c>
      <c r="F19" s="278">
        <f>CHIH_Calendario!F26</f>
        <v>304140</v>
      </c>
      <c r="G19" s="278">
        <f t="shared" si="1"/>
        <v>25345</v>
      </c>
      <c r="H19" s="67">
        <f ca="1">CHIH_Calendario!T26</f>
        <v>228105</v>
      </c>
      <c r="I19" s="67">
        <f>CHIH_Calendario!T27</f>
        <v>177413.81</v>
      </c>
      <c r="J19" s="67">
        <f t="shared" ca="1" si="0"/>
        <v>-50691.19</v>
      </c>
      <c r="K19" s="67">
        <f t="shared" ca="1" si="2"/>
        <v>-22.222743911795007</v>
      </c>
      <c r="L19" s="67">
        <f t="shared" ca="1" si="3"/>
        <v>77.777256088204993</v>
      </c>
      <c r="M19" s="255" t="s">
        <v>318</v>
      </c>
      <c r="P19" s="252"/>
      <c r="Q19" s="280"/>
    </row>
    <row r="20" spans="1:17" ht="44.25" customHeight="1" thickTop="1" thickBot="1" x14ac:dyDescent="0.3">
      <c r="A20" s="227" t="s">
        <v>296</v>
      </c>
      <c r="B20" s="228">
        <v>380200</v>
      </c>
      <c r="C20" s="268" t="s">
        <v>297</v>
      </c>
      <c r="D20" s="240" t="s">
        <v>298</v>
      </c>
      <c r="E20" s="243" t="s">
        <v>299</v>
      </c>
      <c r="F20" s="278">
        <f>CHIH_Calendario!F28</f>
        <v>292920</v>
      </c>
      <c r="G20" s="278">
        <f t="shared" si="1"/>
        <v>24410</v>
      </c>
      <c r="H20" s="67">
        <f ca="1">CHIH_Calendario!T28</f>
        <v>219690</v>
      </c>
      <c r="I20" s="67">
        <f>CHIH_Calendario!T29</f>
        <v>170861.04</v>
      </c>
      <c r="J20" s="67">
        <f t="shared" ref="J20:J28" ca="1" si="4">H20-I20</f>
        <v>48828.959999999992</v>
      </c>
      <c r="K20" s="67">
        <f t="shared" ca="1" si="2"/>
        <v>22.226300696435882</v>
      </c>
      <c r="L20" s="67">
        <f t="shared" ca="1" si="3"/>
        <v>77.773699303564115</v>
      </c>
      <c r="M20" s="255" t="s">
        <v>318</v>
      </c>
      <c r="P20" s="252"/>
      <c r="Q20" s="280"/>
    </row>
    <row r="21" spans="1:17" ht="45" customHeight="1" thickTop="1" thickBot="1" x14ac:dyDescent="0.3">
      <c r="A21" s="227" t="s">
        <v>300</v>
      </c>
      <c r="B21" s="228">
        <v>380200</v>
      </c>
      <c r="C21" s="269" t="s">
        <v>301</v>
      </c>
      <c r="D21" s="240" t="s">
        <v>302</v>
      </c>
      <c r="E21" s="243" t="s">
        <v>303</v>
      </c>
      <c r="F21" s="278">
        <f>CHIH_Calendario!F30</f>
        <v>810440.64</v>
      </c>
      <c r="G21" s="278">
        <f t="shared" si="1"/>
        <v>67536.72</v>
      </c>
      <c r="H21" s="67">
        <f ca="1">CHIH_Calendario!T30</f>
        <v>607833</v>
      </c>
      <c r="I21" s="67">
        <f>CHIH_Calendario!T31</f>
        <v>337683.6</v>
      </c>
      <c r="J21" s="67">
        <f t="shared" ca="1" si="4"/>
        <v>270149.40000000002</v>
      </c>
      <c r="K21" s="67">
        <f t="shared" ca="1" si="2"/>
        <v>44.444674770866342</v>
      </c>
      <c r="L21" s="67">
        <f t="shared" ca="1" si="3"/>
        <v>55.555325229133658</v>
      </c>
      <c r="M21" s="255" t="s">
        <v>991</v>
      </c>
      <c r="P21" s="252"/>
      <c r="Q21" s="280"/>
    </row>
    <row r="22" spans="1:17" ht="72.75" customHeight="1" thickTop="1" thickBot="1" x14ac:dyDescent="0.3">
      <c r="A22" s="227" t="s">
        <v>304</v>
      </c>
      <c r="B22" s="228">
        <v>150900</v>
      </c>
      <c r="C22" s="270" t="s">
        <v>297</v>
      </c>
      <c r="D22" s="240" t="s">
        <v>305</v>
      </c>
      <c r="E22" s="241" t="s">
        <v>306</v>
      </c>
      <c r="F22" s="278">
        <f>CHIH_Calendario!F32</f>
        <v>588036.48</v>
      </c>
      <c r="G22" s="278">
        <f t="shared" si="1"/>
        <v>49003.040000000001</v>
      </c>
      <c r="H22" s="67">
        <f ca="1">CHIH_Calendario!T32</f>
        <v>490030.39999999991</v>
      </c>
      <c r="I22" s="67">
        <f>CHIH_Calendario!T33</f>
        <v>477567.33999999997</v>
      </c>
      <c r="J22" s="67">
        <f t="shared" ca="1" si="4"/>
        <v>12463.059999999939</v>
      </c>
      <c r="K22" s="67">
        <f t="shared" ca="1" si="2"/>
        <v>2.5433238427656617</v>
      </c>
      <c r="L22" s="67">
        <f t="shared" ca="1" si="3"/>
        <v>97.456676157234341</v>
      </c>
      <c r="M22" s="255" t="s">
        <v>992</v>
      </c>
      <c r="P22" s="279"/>
      <c r="Q22" s="279"/>
    </row>
    <row r="23" spans="1:17" ht="48" customHeight="1" thickTop="1" thickBot="1" x14ac:dyDescent="0.3">
      <c r="A23" s="227" t="s">
        <v>304</v>
      </c>
      <c r="B23" s="228">
        <v>150900</v>
      </c>
      <c r="C23" s="270" t="s">
        <v>297</v>
      </c>
      <c r="D23" s="240" t="s">
        <v>307</v>
      </c>
      <c r="E23" s="241" t="s">
        <v>308</v>
      </c>
      <c r="F23" s="278">
        <f>CHIH_Calendario!F34</f>
        <v>1246797</v>
      </c>
      <c r="G23" s="278">
        <f t="shared" si="1"/>
        <v>103899.75</v>
      </c>
      <c r="H23" s="67">
        <f ca="1">CHIH_Calendario!T34</f>
        <v>1038997.5</v>
      </c>
      <c r="I23" s="67">
        <f ca="1">CHIH_Calendario!T35</f>
        <v>532465.23</v>
      </c>
      <c r="J23" s="67">
        <f t="shared" ca="1" si="4"/>
        <v>506532.27</v>
      </c>
      <c r="K23" s="67">
        <f t="shared" ca="1" si="2"/>
        <v>48.752020096294743</v>
      </c>
      <c r="L23" s="67">
        <f t="shared" ca="1" si="3"/>
        <v>51.247979903705257</v>
      </c>
      <c r="M23" s="255" t="s">
        <v>319</v>
      </c>
    </row>
    <row r="24" spans="1:17" ht="42" customHeight="1" thickTop="1" thickBot="1" x14ac:dyDescent="0.3">
      <c r="A24" s="227" t="s">
        <v>309</v>
      </c>
      <c r="B24" s="228">
        <v>920201</v>
      </c>
      <c r="C24" s="270" t="s">
        <v>297</v>
      </c>
      <c r="D24" s="240" t="s">
        <v>310</v>
      </c>
      <c r="E24" s="243" t="s">
        <v>311</v>
      </c>
      <c r="F24" s="278">
        <f>CHIH_Calendario!F36</f>
        <v>337536</v>
      </c>
      <c r="G24" s="278">
        <f t="shared" si="1"/>
        <v>28128</v>
      </c>
      <c r="H24" s="67">
        <f ca="1">CHIH_Calendario!T36</f>
        <v>253152</v>
      </c>
      <c r="I24" s="67">
        <f>CHIH_Calendario!T37</f>
        <v>193983.91999999998</v>
      </c>
      <c r="J24" s="67">
        <f t="shared" ca="1" si="4"/>
        <v>59168.080000000016</v>
      </c>
      <c r="K24" s="67">
        <f t="shared" ca="1" si="2"/>
        <v>23.372550878523583</v>
      </c>
      <c r="L24" s="67">
        <f t="shared" ca="1" si="3"/>
        <v>76.627449121476417</v>
      </c>
      <c r="M24" s="255" t="s">
        <v>964</v>
      </c>
    </row>
    <row r="25" spans="1:17" ht="73.5" customHeight="1" thickTop="1" thickBot="1" x14ac:dyDescent="0.3">
      <c r="A25" s="227" t="s">
        <v>312</v>
      </c>
      <c r="B25" s="228">
        <v>920110</v>
      </c>
      <c r="C25" s="269" t="s">
        <v>284</v>
      </c>
      <c r="D25" s="240" t="s">
        <v>313</v>
      </c>
      <c r="E25" s="243" t="s">
        <v>311</v>
      </c>
      <c r="F25" s="278">
        <f>CHIH_Calendario!F38</f>
        <v>371472</v>
      </c>
      <c r="G25" s="278">
        <f t="shared" si="1"/>
        <v>30956</v>
      </c>
      <c r="H25" s="67">
        <f ca="1">CHIH_Calendario!T38</f>
        <v>278604</v>
      </c>
      <c r="I25" s="67">
        <f>CHIH_Calendario!T39</f>
        <v>278592.20999999996</v>
      </c>
      <c r="J25" s="67">
        <f t="shared" ca="1" si="4"/>
        <v>11.790000000037253</v>
      </c>
      <c r="K25" s="67">
        <f t="shared" ca="1" si="2"/>
        <v>4.2318128957363329E-3</v>
      </c>
      <c r="L25" s="67">
        <f t="shared" ca="1" si="3"/>
        <v>99.995768187104261</v>
      </c>
      <c r="M25" s="255" t="s">
        <v>778</v>
      </c>
    </row>
    <row r="26" spans="1:17" ht="57" customHeight="1" thickTop="1" thickBot="1" x14ac:dyDescent="0.3">
      <c r="A26" s="227" t="s">
        <v>304</v>
      </c>
      <c r="B26" s="228">
        <v>150900</v>
      </c>
      <c r="C26" s="270" t="s">
        <v>297</v>
      </c>
      <c r="D26" s="143" t="s">
        <v>314</v>
      </c>
      <c r="E26" s="207" t="s">
        <v>315</v>
      </c>
      <c r="F26" s="278">
        <f>CHIH_Calendario!F40</f>
        <v>369231.72000000003</v>
      </c>
      <c r="G26" s="281">
        <f t="shared" si="1"/>
        <v>30769.31</v>
      </c>
      <c r="H26" s="67">
        <f ca="1">CHIH_Calendario!T40</f>
        <v>307693.10000000003</v>
      </c>
      <c r="I26" s="68">
        <f>CHIH_Calendario!T41</f>
        <v>459334.79000000004</v>
      </c>
      <c r="J26" s="68">
        <f t="shared" ca="1" si="4"/>
        <v>-151641.69</v>
      </c>
      <c r="K26" s="68">
        <f t="shared" ca="1" si="2"/>
        <v>-49.283422345187454</v>
      </c>
      <c r="L26" s="68">
        <f t="shared" ca="1" si="3"/>
        <v>149.28342234518746</v>
      </c>
      <c r="M26" s="255" t="s">
        <v>778</v>
      </c>
    </row>
    <row r="27" spans="1:17" ht="54" customHeight="1" thickTop="1" thickBot="1" x14ac:dyDescent="0.3">
      <c r="A27" s="282">
        <v>5863303</v>
      </c>
      <c r="B27" s="283">
        <v>73110</v>
      </c>
      <c r="C27" s="274" t="s">
        <v>280</v>
      </c>
      <c r="D27" s="212" t="s">
        <v>316</v>
      </c>
      <c r="E27" s="257" t="s">
        <v>255</v>
      </c>
      <c r="F27" s="278">
        <f>CHIH_Calendario!F27</f>
        <v>0</v>
      </c>
      <c r="G27" s="284"/>
      <c r="H27" s="67">
        <f>CHIH_Calendario!T42</f>
        <v>0</v>
      </c>
      <c r="I27" s="286">
        <f>CHIH_Calendario!T43</f>
        <v>0</v>
      </c>
      <c r="J27" s="68">
        <f t="shared" si="4"/>
        <v>0</v>
      </c>
      <c r="K27" s="68" t="e">
        <f t="shared" si="2"/>
        <v>#DIV/0!</v>
      </c>
      <c r="L27" s="68" t="e">
        <f t="shared" si="3"/>
        <v>#DIV/0!</v>
      </c>
      <c r="M27" s="255" t="s">
        <v>260</v>
      </c>
    </row>
    <row r="28" spans="1:17" ht="15.75" thickBot="1" x14ac:dyDescent="0.3">
      <c r="A28" s="4"/>
      <c r="B28" s="7">
        <v>16</v>
      </c>
      <c r="C28" s="24">
        <f>COUNT(#REF!)</f>
        <v>0</v>
      </c>
      <c r="E28" s="6"/>
      <c r="F28" s="32">
        <f>SUM(F12:F27)</f>
        <v>6820797.8399999999</v>
      </c>
      <c r="G28" s="32">
        <f>SUM(G12:G27)</f>
        <v>568399.82000000007</v>
      </c>
      <c r="H28" s="32">
        <f ca="1">SUM(H12:H27)</f>
        <v>5401333</v>
      </c>
      <c r="I28" s="215">
        <f ca="1">SUM(I12:I27)</f>
        <v>4418722.74</v>
      </c>
      <c r="J28" s="287">
        <f t="shared" ca="1" si="4"/>
        <v>982610.25999999978</v>
      </c>
      <c r="K28" s="150">
        <f t="shared" ca="1" si="2"/>
        <v>18.191995568501326</v>
      </c>
      <c r="L28" s="151">
        <f t="shared" ca="1" si="3"/>
        <v>81.808004431498674</v>
      </c>
      <c r="M28" s="5"/>
    </row>
    <row r="29" spans="1:17" ht="10.5" customHeight="1" x14ac:dyDescent="0.25">
      <c r="F29" s="3"/>
      <c r="G29" s="3"/>
      <c r="H29" s="2"/>
      <c r="I29" s="2"/>
      <c r="J29" s="2"/>
      <c r="K29" s="2"/>
      <c r="L29" s="2"/>
      <c r="M29" s="857"/>
    </row>
    <row r="30" spans="1:17" x14ac:dyDescent="0.25">
      <c r="E30" s="277"/>
      <c r="F30">
        <v>1</v>
      </c>
      <c r="G30" t="s">
        <v>320</v>
      </c>
      <c r="I30" s="2"/>
      <c r="J30" s="2"/>
      <c r="K30" s="2"/>
      <c r="L30" s="2"/>
      <c r="M30" s="857"/>
    </row>
    <row r="31" spans="1:17" x14ac:dyDescent="0.25">
      <c r="F31">
        <v>3</v>
      </c>
      <c r="G31" t="s">
        <v>321</v>
      </c>
    </row>
    <row r="32" spans="1:17" x14ac:dyDescent="0.25">
      <c r="F32">
        <v>1</v>
      </c>
      <c r="G32" t="s">
        <v>322</v>
      </c>
    </row>
    <row r="33" spans="6:7" x14ac:dyDescent="0.25">
      <c r="F33">
        <v>5</v>
      </c>
      <c r="G33" t="s">
        <v>323</v>
      </c>
    </row>
    <row r="34" spans="6:7" x14ac:dyDescent="0.25">
      <c r="F34">
        <v>3</v>
      </c>
      <c r="G34" t="s">
        <v>324</v>
      </c>
    </row>
    <row r="35" spans="6:7" x14ac:dyDescent="0.25">
      <c r="F35">
        <v>2</v>
      </c>
      <c r="G35" t="s">
        <v>325</v>
      </c>
    </row>
    <row r="36" spans="6:7" x14ac:dyDescent="0.25">
      <c r="F36" s="265">
        <v>15</v>
      </c>
    </row>
  </sheetData>
  <autoFilter ref="L10:L28"/>
  <mergeCells count="12">
    <mergeCell ref="M10:M11"/>
    <mergeCell ref="M29:M30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0" fitToHeight="2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W46"/>
  <sheetViews>
    <sheetView zoomScale="60" zoomScaleNormal="60" zoomScaleSheetLayoutView="70" zoomScalePageLayoutView="80" workbookViewId="0">
      <pane xSplit="7" ySplit="11" topLeftCell="L36" activePane="bottomRight" state="frozen"/>
      <selection pane="topRight" activeCell="H1" sqref="H1"/>
      <selection pane="bottomLeft" activeCell="A12" sqref="A12"/>
      <selection pane="bottomRight" activeCell="L35" sqref="L35"/>
    </sheetView>
  </sheetViews>
  <sheetFormatPr baseColWidth="10" defaultRowHeight="15" x14ac:dyDescent="0.25"/>
  <cols>
    <col min="1" max="1" width="9.42578125" customWidth="1"/>
    <col min="2" max="2" width="9.28515625" customWidth="1"/>
    <col min="3" max="3" width="0.28515625" customWidth="1"/>
    <col min="4" max="4" width="21.5703125" customWidth="1"/>
    <col min="5" max="5" width="27.28515625" style="1" customWidth="1"/>
    <col min="6" max="6" width="19.42578125" customWidth="1"/>
    <col min="7" max="19" width="16.8554687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  <c r="K5" s="9"/>
      <c r="M5" s="9"/>
      <c r="N5" s="9"/>
      <c r="T5" s="9"/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264"/>
      <c r="O6" s="16"/>
      <c r="P6" s="16"/>
      <c r="Q6" s="264"/>
      <c r="R6" s="16"/>
      <c r="S6" s="16"/>
      <c r="T6" s="9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127</v>
      </c>
      <c r="H8" s="9">
        <f t="shared" ref="H8:S8" si="0">+H33+H35+H41</f>
        <v>0</v>
      </c>
      <c r="I8" s="9">
        <f t="shared" si="0"/>
        <v>0</v>
      </c>
      <c r="J8" s="9"/>
      <c r="K8" s="9"/>
      <c r="L8" s="9">
        <f t="shared" si="0"/>
        <v>0</v>
      </c>
      <c r="M8" s="9">
        <f t="shared" si="0"/>
        <v>367341.83999999997</v>
      </c>
      <c r="N8" s="9">
        <f t="shared" si="0"/>
        <v>0</v>
      </c>
      <c r="O8" s="9">
        <f t="shared" si="0"/>
        <v>183670.91999999998</v>
      </c>
      <c r="P8" s="9">
        <f t="shared" si="0"/>
        <v>367341.83999999997</v>
      </c>
      <c r="Q8" s="9">
        <f t="shared" si="0"/>
        <v>0</v>
      </c>
      <c r="R8" s="9">
        <f t="shared" si="0"/>
        <v>0</v>
      </c>
      <c r="S8" s="9">
        <f t="shared" si="0"/>
        <v>0</v>
      </c>
      <c r="T8" s="9"/>
    </row>
    <row r="9" spans="1:21" ht="15.75" thickBot="1" x14ac:dyDescent="0.3">
      <c r="I9" t="s">
        <v>64</v>
      </c>
      <c r="J9" t="s">
        <v>65</v>
      </c>
      <c r="K9" t="s">
        <v>66</v>
      </c>
      <c r="L9" t="s">
        <v>67</v>
      </c>
      <c r="M9" t="s">
        <v>68</v>
      </c>
      <c r="N9" t="s">
        <v>69</v>
      </c>
      <c r="O9" t="s">
        <v>70</v>
      </c>
      <c r="P9" t="s">
        <v>71</v>
      </c>
      <c r="Q9" t="s">
        <v>72</v>
      </c>
      <c r="R9" t="s">
        <v>73</v>
      </c>
      <c r="S9" t="s">
        <v>74</v>
      </c>
      <c r="T9" s="9"/>
    </row>
    <row r="10" spans="1:21" s="265" customFormat="1" ht="18" customHeight="1" x14ac:dyDescent="0.25">
      <c r="A10" s="64"/>
      <c r="B10" s="63" t="s">
        <v>18</v>
      </c>
      <c r="C10" s="844" t="s">
        <v>17</v>
      </c>
      <c r="D10" s="879" t="s">
        <v>16</v>
      </c>
      <c r="E10" s="848" t="s">
        <v>15</v>
      </c>
      <c r="F10" s="877" t="s">
        <v>26</v>
      </c>
      <c r="G10" s="877" t="s">
        <v>89</v>
      </c>
      <c r="H10" s="877" t="s">
        <v>39</v>
      </c>
      <c r="I10" s="877" t="s">
        <v>40</v>
      </c>
      <c r="J10" s="877" t="s">
        <v>41</v>
      </c>
      <c r="K10" s="877" t="s">
        <v>42</v>
      </c>
      <c r="L10" s="877" t="s">
        <v>43</v>
      </c>
      <c r="M10" s="877" t="s">
        <v>44</v>
      </c>
      <c r="N10" s="877" t="s">
        <v>45</v>
      </c>
      <c r="O10" s="877" t="s">
        <v>46</v>
      </c>
      <c r="P10" s="877" t="s">
        <v>47</v>
      </c>
      <c r="Q10" s="877" t="s">
        <v>48</v>
      </c>
      <c r="R10" s="877" t="s">
        <v>49</v>
      </c>
      <c r="S10" s="877" t="s">
        <v>50</v>
      </c>
      <c r="T10" s="880" t="s">
        <v>51</v>
      </c>
      <c r="U10" s="877" t="s">
        <v>14</v>
      </c>
    </row>
    <row r="11" spans="1:21" s="265" customFormat="1" ht="34.5" customHeight="1" thickBot="1" x14ac:dyDescent="0.3">
      <c r="A11" s="25" t="s">
        <v>12</v>
      </c>
      <c r="B11" s="33" t="s">
        <v>13</v>
      </c>
      <c r="C11" s="845"/>
      <c r="D11" s="879"/>
      <c r="E11" s="848"/>
      <c r="F11" s="879"/>
      <c r="G11" s="877"/>
      <c r="H11" s="877"/>
      <c r="I11" s="877"/>
      <c r="J11" s="877"/>
      <c r="K11" s="877"/>
      <c r="L11" s="877"/>
      <c r="M11" s="877"/>
      <c r="N11" s="877"/>
      <c r="O11" s="877"/>
      <c r="P11" s="877"/>
      <c r="Q11" s="877"/>
      <c r="R11" s="877"/>
      <c r="S11" s="877"/>
      <c r="T11" s="866"/>
      <c r="U11" s="877"/>
    </row>
    <row r="12" spans="1:21" ht="54.75" customHeight="1" thickTop="1" thickBot="1" x14ac:dyDescent="0.3">
      <c r="A12" s="228">
        <v>200200</v>
      </c>
      <c r="B12" s="227">
        <v>82435</v>
      </c>
      <c r="C12" s="56" t="s">
        <v>265</v>
      </c>
      <c r="D12" s="873" t="s">
        <v>266</v>
      </c>
      <c r="E12" s="873" t="s">
        <v>267</v>
      </c>
      <c r="F12" s="915">
        <f>SUM(H12:S12)</f>
        <v>155316</v>
      </c>
      <c r="G12" s="266" t="s">
        <v>52</v>
      </c>
      <c r="H12" s="266"/>
      <c r="I12" s="266">
        <f t="shared" ref="I12:S12" si="1">VLOOKUP($A12&amp;$B12&amp;I$9,Base,8,FALSE)</f>
        <v>0</v>
      </c>
      <c r="J12" s="266">
        <f t="shared" si="1"/>
        <v>25884.240000000002</v>
      </c>
      <c r="K12" s="266">
        <f t="shared" si="1"/>
        <v>12942.12</v>
      </c>
      <c r="L12" s="266">
        <f t="shared" si="1"/>
        <v>0</v>
      </c>
      <c r="M12" s="266">
        <f t="shared" si="1"/>
        <v>25884.240000000002</v>
      </c>
      <c r="N12" s="266">
        <f t="shared" si="1"/>
        <v>12942.12</v>
      </c>
      <c r="O12" s="266">
        <f t="shared" si="1"/>
        <v>12942.12</v>
      </c>
      <c r="P12" s="266">
        <f t="shared" si="1"/>
        <v>12942.12</v>
      </c>
      <c r="Q12" s="266">
        <f t="shared" si="1"/>
        <v>12950.04</v>
      </c>
      <c r="R12" s="266">
        <f t="shared" si="1"/>
        <v>12943</v>
      </c>
      <c r="S12" s="266">
        <f t="shared" si="1"/>
        <v>25886</v>
      </c>
      <c r="T12" s="67">
        <f ca="1">SUM($H12:(OFFSET($H12,0,AVANCE060826!$T$2)))</f>
        <v>116487</v>
      </c>
      <c r="U12" s="903" t="s">
        <v>268</v>
      </c>
    </row>
    <row r="13" spans="1:21" ht="54.75" customHeight="1" thickTop="1" thickBot="1" x14ac:dyDescent="0.3">
      <c r="A13" s="228">
        <v>200200</v>
      </c>
      <c r="B13" s="227">
        <v>82435</v>
      </c>
      <c r="C13" s="56"/>
      <c r="D13" s="873"/>
      <c r="E13" s="873"/>
      <c r="F13" s="915"/>
      <c r="G13" s="266" t="s">
        <v>53</v>
      </c>
      <c r="H13" s="266"/>
      <c r="I13" s="266">
        <f t="shared" ref="I13:S13" si="2">VLOOKUP($A13&amp;$B13&amp;I$9,Base,9,FALSE)</f>
        <v>0</v>
      </c>
      <c r="J13" s="266">
        <f t="shared" si="2"/>
        <v>25884.240000000002</v>
      </c>
      <c r="K13" s="266">
        <f t="shared" si="2"/>
        <v>12942.12</v>
      </c>
      <c r="L13" s="266">
        <f t="shared" si="2"/>
        <v>0</v>
      </c>
      <c r="M13" s="266">
        <f t="shared" si="2"/>
        <v>25884.240000000002</v>
      </c>
      <c r="N13" s="266">
        <f t="shared" si="2"/>
        <v>12942.12</v>
      </c>
      <c r="O13" s="266">
        <f t="shared" si="2"/>
        <v>12942.12</v>
      </c>
      <c r="P13" s="266">
        <f t="shared" si="2"/>
        <v>12942.12</v>
      </c>
      <c r="Q13" s="266">
        <f t="shared" si="2"/>
        <v>12942.12</v>
      </c>
      <c r="R13" s="266">
        <f t="shared" si="2"/>
        <v>0</v>
      </c>
      <c r="S13" s="266">
        <f t="shared" si="2"/>
        <v>0</v>
      </c>
      <c r="T13" s="67">
        <f t="shared" ref="T13:T43" si="3">SUM(H13:S13)</f>
        <v>116479.07999999999</v>
      </c>
      <c r="U13" s="903"/>
    </row>
    <row r="14" spans="1:21" ht="59.25" customHeight="1" thickTop="1" thickBot="1" x14ac:dyDescent="0.3">
      <c r="A14" s="228">
        <v>200200</v>
      </c>
      <c r="B14" s="227">
        <v>82438</v>
      </c>
      <c r="C14" s="155" t="s">
        <v>270</v>
      </c>
      <c r="D14" s="873" t="s">
        <v>271</v>
      </c>
      <c r="E14" s="873" t="s">
        <v>272</v>
      </c>
      <c r="F14" s="915">
        <f>SUM(H14:S14)</f>
        <v>108779.99999999999</v>
      </c>
      <c r="G14" s="266" t="s">
        <v>52</v>
      </c>
      <c r="H14" s="266"/>
      <c r="I14" s="266">
        <f t="shared" ref="I14:S14" si="4">VLOOKUP($A14&amp;$B14&amp;I$9,Base,8,FALSE)</f>
        <v>0</v>
      </c>
      <c r="J14" s="266">
        <f t="shared" si="4"/>
        <v>9064.23</v>
      </c>
      <c r="K14" s="266">
        <f t="shared" si="4"/>
        <v>18128.419999999998</v>
      </c>
      <c r="L14" s="266">
        <f t="shared" si="4"/>
        <v>9064.23</v>
      </c>
      <c r="M14" s="266">
        <f t="shared" si="4"/>
        <v>9064.23</v>
      </c>
      <c r="N14" s="266">
        <f t="shared" si="4"/>
        <v>9064.23</v>
      </c>
      <c r="O14" s="266">
        <f t="shared" si="4"/>
        <v>9064.23</v>
      </c>
      <c r="P14" s="266">
        <f t="shared" si="4"/>
        <v>9064.23</v>
      </c>
      <c r="Q14" s="266">
        <f t="shared" si="4"/>
        <v>9071.2000000000007</v>
      </c>
      <c r="R14" s="266">
        <f t="shared" si="4"/>
        <v>9065</v>
      </c>
      <c r="S14" s="266">
        <f t="shared" si="4"/>
        <v>18130</v>
      </c>
      <c r="T14" s="67">
        <f ca="1">SUM($H14:(OFFSET($H14,0,AVANCE060826!$T$2)))</f>
        <v>81584.999999999985</v>
      </c>
      <c r="U14" s="916" t="s">
        <v>273</v>
      </c>
    </row>
    <row r="15" spans="1:21" ht="59.25" customHeight="1" thickTop="1" thickBot="1" x14ac:dyDescent="0.3">
      <c r="A15" s="228">
        <v>200200</v>
      </c>
      <c r="B15" s="227">
        <v>82438</v>
      </c>
      <c r="C15" s="155"/>
      <c r="D15" s="873"/>
      <c r="E15" s="873"/>
      <c r="F15" s="915"/>
      <c r="G15" s="266" t="s">
        <v>53</v>
      </c>
      <c r="H15" s="266"/>
      <c r="I15" s="266">
        <f t="shared" ref="I15:S15" si="5">VLOOKUP($A15&amp;$B15&amp;I$9,Base,9,FALSE)</f>
        <v>0</v>
      </c>
      <c r="J15" s="266">
        <f t="shared" si="5"/>
        <v>9064.23</v>
      </c>
      <c r="K15" s="266">
        <f t="shared" si="5"/>
        <v>18128.419999999998</v>
      </c>
      <c r="L15" s="266">
        <f t="shared" si="5"/>
        <v>9064.23</v>
      </c>
      <c r="M15" s="266">
        <f t="shared" si="5"/>
        <v>9064.23</v>
      </c>
      <c r="N15" s="266">
        <f t="shared" si="5"/>
        <v>9064.23</v>
      </c>
      <c r="O15" s="266">
        <f t="shared" si="5"/>
        <v>9064.23</v>
      </c>
      <c r="P15" s="266">
        <f t="shared" si="5"/>
        <v>9064.23</v>
      </c>
      <c r="Q15" s="266">
        <f t="shared" si="5"/>
        <v>0</v>
      </c>
      <c r="R15" s="266">
        <f t="shared" si="5"/>
        <v>0</v>
      </c>
      <c r="S15" s="266">
        <f t="shared" si="5"/>
        <v>0</v>
      </c>
      <c r="T15" s="67">
        <f t="shared" si="3"/>
        <v>72513.799999999988</v>
      </c>
      <c r="U15" s="916"/>
    </row>
    <row r="16" spans="1:21" ht="70.5" customHeight="1" thickTop="1" thickBot="1" x14ac:dyDescent="0.3">
      <c r="A16" s="228">
        <v>200200</v>
      </c>
      <c r="B16" s="227">
        <v>82442</v>
      </c>
      <c r="C16" s="56" t="s">
        <v>275</v>
      </c>
      <c r="D16" s="873" t="s">
        <v>276</v>
      </c>
      <c r="E16" s="873" t="s">
        <v>277</v>
      </c>
      <c r="F16" s="915">
        <f>SUM(H16:S16)</f>
        <v>51156</v>
      </c>
      <c r="G16" s="266" t="s">
        <v>52</v>
      </c>
      <c r="H16" s="266"/>
      <c r="I16" s="266">
        <f t="shared" ref="I16:S16" si="6">VLOOKUP($A16&amp;$B16&amp;I$9,Base,8,FALSE)</f>
        <v>0</v>
      </c>
      <c r="J16" s="266">
        <f t="shared" si="6"/>
        <v>0</v>
      </c>
      <c r="K16" s="266">
        <f t="shared" si="6"/>
        <v>0</v>
      </c>
      <c r="L16" s="266">
        <f t="shared" si="6"/>
        <v>0</v>
      </c>
      <c r="M16" s="266">
        <f t="shared" si="6"/>
        <v>21315</v>
      </c>
      <c r="N16" s="266">
        <f t="shared" si="6"/>
        <v>0</v>
      </c>
      <c r="O16" s="266">
        <f t="shared" si="6"/>
        <v>0</v>
      </c>
      <c r="P16" s="266">
        <f t="shared" si="6"/>
        <v>0</v>
      </c>
      <c r="Q16" s="266">
        <f t="shared" si="6"/>
        <v>17052</v>
      </c>
      <c r="R16" s="266">
        <f t="shared" si="6"/>
        <v>4263</v>
      </c>
      <c r="S16" s="266">
        <f t="shared" si="6"/>
        <v>8526</v>
      </c>
      <c r="T16" s="67">
        <f ca="1">SUM($H16:(OFFSET($H16,0,AVANCE060826!$T$2)))</f>
        <v>38367</v>
      </c>
      <c r="U16" s="916" t="s">
        <v>278</v>
      </c>
    </row>
    <row r="17" spans="1:21" ht="70.5" customHeight="1" thickTop="1" thickBot="1" x14ac:dyDescent="0.3">
      <c r="A17" s="228">
        <v>200200</v>
      </c>
      <c r="B17" s="227">
        <v>82442</v>
      </c>
      <c r="C17" s="56"/>
      <c r="D17" s="873"/>
      <c r="E17" s="873"/>
      <c r="F17" s="915"/>
      <c r="G17" s="266" t="s">
        <v>53</v>
      </c>
      <c r="H17" s="266"/>
      <c r="I17" s="266">
        <f t="shared" ref="I17:S17" si="7">VLOOKUP($A17&amp;$B17&amp;I$9,Base,9,FALSE)</f>
        <v>0</v>
      </c>
      <c r="J17" s="266">
        <f t="shared" si="7"/>
        <v>0</v>
      </c>
      <c r="K17" s="266">
        <f t="shared" si="7"/>
        <v>0</v>
      </c>
      <c r="L17" s="266">
        <f t="shared" si="7"/>
        <v>0</v>
      </c>
      <c r="M17" s="266">
        <f t="shared" si="7"/>
        <v>21315</v>
      </c>
      <c r="N17" s="266">
        <f t="shared" si="7"/>
        <v>0</v>
      </c>
      <c r="O17" s="266">
        <f t="shared" si="7"/>
        <v>0</v>
      </c>
      <c r="P17" s="266">
        <f t="shared" si="7"/>
        <v>0</v>
      </c>
      <c r="Q17" s="266">
        <f t="shared" si="7"/>
        <v>0</v>
      </c>
      <c r="R17" s="266">
        <f t="shared" si="7"/>
        <v>0</v>
      </c>
      <c r="S17" s="266">
        <f t="shared" si="7"/>
        <v>0</v>
      </c>
      <c r="T17" s="67">
        <f>SUM(H17:S17)</f>
        <v>21315</v>
      </c>
      <c r="U17" s="916"/>
    </row>
    <row r="18" spans="1:21" ht="57.75" customHeight="1" thickTop="1" thickBot="1" x14ac:dyDescent="0.3">
      <c r="A18" s="228">
        <v>200200</v>
      </c>
      <c r="B18" s="227">
        <v>82408</v>
      </c>
      <c r="C18" s="56" t="s">
        <v>280</v>
      </c>
      <c r="D18" s="873" t="s">
        <v>281</v>
      </c>
      <c r="E18" s="873" t="s">
        <v>282</v>
      </c>
      <c r="F18" s="915">
        <f>SUM(H18:S18)</f>
        <v>207707.99999999997</v>
      </c>
      <c r="G18" s="266" t="s">
        <v>52</v>
      </c>
      <c r="H18" s="266"/>
      <c r="I18" s="266">
        <f t="shared" ref="I18:S18" si="8">VLOOKUP($A18&amp;$B18&amp;I$9,Base,8,FALSE)</f>
        <v>0</v>
      </c>
      <c r="J18" s="266">
        <f t="shared" si="8"/>
        <v>0</v>
      </c>
      <c r="K18" s="266">
        <f t="shared" si="8"/>
        <v>51923.28</v>
      </c>
      <c r="L18" s="266">
        <f t="shared" si="8"/>
        <v>17307.759999999998</v>
      </c>
      <c r="M18" s="266">
        <f t="shared" si="8"/>
        <v>17307.759999999998</v>
      </c>
      <c r="N18" s="266">
        <f t="shared" si="8"/>
        <v>17307.759999999998</v>
      </c>
      <c r="O18" s="266">
        <f t="shared" si="8"/>
        <v>17307.759999999998</v>
      </c>
      <c r="P18" s="266">
        <f t="shared" si="8"/>
        <v>0</v>
      </c>
      <c r="Q18" s="266">
        <f t="shared" si="8"/>
        <v>34626.68</v>
      </c>
      <c r="R18" s="266">
        <f t="shared" si="8"/>
        <v>17309</v>
      </c>
      <c r="S18" s="266">
        <f t="shared" si="8"/>
        <v>34618</v>
      </c>
      <c r="T18" s="67">
        <f ca="1">SUM($H18:(OFFSET($H18,0,AVANCE060826!$T$2)))</f>
        <v>155780.99999999997</v>
      </c>
      <c r="U18" s="916" t="s">
        <v>273</v>
      </c>
    </row>
    <row r="19" spans="1:21" ht="57.75" customHeight="1" thickTop="1" thickBot="1" x14ac:dyDescent="0.3">
      <c r="A19" s="228">
        <v>200200</v>
      </c>
      <c r="B19" s="227">
        <v>82408</v>
      </c>
      <c r="C19" s="56"/>
      <c r="D19" s="873"/>
      <c r="E19" s="873"/>
      <c r="F19" s="915"/>
      <c r="G19" s="266" t="s">
        <v>53</v>
      </c>
      <c r="H19" s="266"/>
      <c r="I19" s="266">
        <f t="shared" ref="I19:S19" si="9">VLOOKUP($A19&amp;$B19&amp;I$9,Base,9,FALSE)</f>
        <v>0</v>
      </c>
      <c r="J19" s="266">
        <f t="shared" si="9"/>
        <v>0</v>
      </c>
      <c r="K19" s="266">
        <f t="shared" si="9"/>
        <v>51923.28</v>
      </c>
      <c r="L19" s="266">
        <f t="shared" si="9"/>
        <v>17307.759999999998</v>
      </c>
      <c r="M19" s="266">
        <f t="shared" si="9"/>
        <v>17307.759999999998</v>
      </c>
      <c r="N19" s="266">
        <f t="shared" si="9"/>
        <v>17307.759999999998</v>
      </c>
      <c r="O19" s="266">
        <f t="shared" si="9"/>
        <v>17307.759999999998</v>
      </c>
      <c r="P19" s="266">
        <f t="shared" si="9"/>
        <v>0</v>
      </c>
      <c r="Q19" s="266">
        <f t="shared" si="9"/>
        <v>0</v>
      </c>
      <c r="R19" s="266">
        <f t="shared" si="9"/>
        <v>0</v>
      </c>
      <c r="S19" s="266">
        <f t="shared" si="9"/>
        <v>0</v>
      </c>
      <c r="T19" s="67">
        <f t="shared" si="3"/>
        <v>121154.31999999998</v>
      </c>
      <c r="U19" s="916"/>
    </row>
    <row r="20" spans="1:21" ht="58.5" customHeight="1" thickTop="1" thickBot="1" x14ac:dyDescent="0.3">
      <c r="A20" s="228">
        <v>900110</v>
      </c>
      <c r="B20" s="227">
        <v>89106</v>
      </c>
      <c r="C20" s="155" t="s">
        <v>284</v>
      </c>
      <c r="D20" s="873" t="s">
        <v>285</v>
      </c>
      <c r="E20" s="874" t="s">
        <v>286</v>
      </c>
      <c r="F20" s="915">
        <f>SUM(H20:S20)</f>
        <v>1224720</v>
      </c>
      <c r="G20" s="266" t="s">
        <v>52</v>
      </c>
      <c r="H20" s="266"/>
      <c r="I20" s="266">
        <f t="shared" ref="I20:S20" si="10">VLOOKUP($A20&amp;$B20&amp;I$9,Base,8,FALSE)</f>
        <v>204120</v>
      </c>
      <c r="J20" s="266">
        <f t="shared" si="10"/>
        <v>0</v>
      </c>
      <c r="K20" s="266">
        <f t="shared" si="10"/>
        <v>0</v>
      </c>
      <c r="L20" s="266">
        <f t="shared" si="10"/>
        <v>204120</v>
      </c>
      <c r="M20" s="266">
        <f t="shared" si="10"/>
        <v>102060</v>
      </c>
      <c r="N20" s="266">
        <f t="shared" si="10"/>
        <v>102060</v>
      </c>
      <c r="O20" s="266">
        <f t="shared" si="10"/>
        <v>204120</v>
      </c>
      <c r="P20" s="266">
        <f t="shared" si="10"/>
        <v>102060</v>
      </c>
      <c r="Q20" s="266">
        <f t="shared" si="10"/>
        <v>102060</v>
      </c>
      <c r="R20" s="266">
        <f t="shared" si="10"/>
        <v>102060</v>
      </c>
      <c r="S20" s="266">
        <f t="shared" si="10"/>
        <v>102060</v>
      </c>
      <c r="T20" s="67">
        <f ca="1">SUM($H20:(OFFSET($H20,0,AVANCE060826!$T$2)))</f>
        <v>1020600</v>
      </c>
      <c r="U20" s="876" t="s">
        <v>287</v>
      </c>
    </row>
    <row r="21" spans="1:21" ht="58.5" customHeight="1" thickTop="1" thickBot="1" x14ac:dyDescent="0.3">
      <c r="A21" s="228">
        <v>900110</v>
      </c>
      <c r="B21" s="227">
        <v>89106</v>
      </c>
      <c r="C21" s="155"/>
      <c r="D21" s="873"/>
      <c r="E21" s="874"/>
      <c r="F21" s="915"/>
      <c r="G21" s="266" t="s">
        <v>53</v>
      </c>
      <c r="H21" s="266"/>
      <c r="I21" s="266">
        <f t="shared" ref="I21:S21" si="11">VLOOKUP($A21&amp;$B21&amp;I$9,Base,9,FALSE)</f>
        <v>204120</v>
      </c>
      <c r="J21" s="266">
        <f t="shared" si="11"/>
        <v>0</v>
      </c>
      <c r="K21" s="266">
        <f t="shared" si="11"/>
        <v>0</v>
      </c>
      <c r="L21" s="266">
        <f t="shared" si="11"/>
        <v>204120</v>
      </c>
      <c r="M21" s="266">
        <f t="shared" si="11"/>
        <v>102060</v>
      </c>
      <c r="N21" s="266">
        <f t="shared" si="11"/>
        <v>102060</v>
      </c>
      <c r="O21" s="266">
        <f t="shared" si="11"/>
        <v>204120</v>
      </c>
      <c r="P21" s="266">
        <f t="shared" si="11"/>
        <v>102060</v>
      </c>
      <c r="Q21" s="266">
        <f t="shared" si="11"/>
        <v>0</v>
      </c>
      <c r="R21" s="266">
        <f t="shared" si="11"/>
        <v>0</v>
      </c>
      <c r="S21" s="266">
        <f t="shared" si="11"/>
        <v>0</v>
      </c>
      <c r="T21" s="67">
        <f t="shared" si="3"/>
        <v>918540</v>
      </c>
      <c r="U21" s="876"/>
    </row>
    <row r="22" spans="1:21" ht="64.5" customHeight="1" thickTop="1" thickBot="1" x14ac:dyDescent="0.3">
      <c r="A22" s="228">
        <v>900110</v>
      </c>
      <c r="B22" s="227">
        <v>89102</v>
      </c>
      <c r="C22" s="56" t="s">
        <v>289</v>
      </c>
      <c r="D22" s="873" t="s">
        <v>290</v>
      </c>
      <c r="E22" s="874" t="s">
        <v>190</v>
      </c>
      <c r="F22" s="915">
        <f>SUM(H22:S22)</f>
        <v>282948</v>
      </c>
      <c r="G22" s="266" t="s">
        <v>52</v>
      </c>
      <c r="H22" s="266"/>
      <c r="I22" s="266">
        <f t="shared" ref="I22:S22" si="12">VLOOKUP($A22&amp;$B22&amp;I$9,Base,8,FALSE)</f>
        <v>0</v>
      </c>
      <c r="J22" s="266">
        <f t="shared" si="12"/>
        <v>0</v>
      </c>
      <c r="K22" s="266">
        <f t="shared" si="12"/>
        <v>0</v>
      </c>
      <c r="L22" s="266">
        <f t="shared" si="12"/>
        <v>0</v>
      </c>
      <c r="M22" s="266">
        <f t="shared" si="12"/>
        <v>0</v>
      </c>
      <c r="N22" s="266">
        <f t="shared" si="12"/>
        <v>141468.9</v>
      </c>
      <c r="O22" s="266">
        <f t="shared" si="12"/>
        <v>0</v>
      </c>
      <c r="P22" s="266">
        <f t="shared" si="12"/>
        <v>47156.3</v>
      </c>
      <c r="Q22" s="266">
        <f t="shared" si="12"/>
        <v>23585.8</v>
      </c>
      <c r="R22" s="266">
        <f t="shared" si="12"/>
        <v>23579</v>
      </c>
      <c r="S22" s="266">
        <f t="shared" si="12"/>
        <v>47158</v>
      </c>
      <c r="T22" s="67">
        <f ca="1">SUM($H22:(OFFSET($H22,0,AVANCE060826!$T$2)))</f>
        <v>212211</v>
      </c>
      <c r="U22" s="916" t="s">
        <v>278</v>
      </c>
    </row>
    <row r="23" spans="1:21" ht="64.5" customHeight="1" thickTop="1" thickBot="1" x14ac:dyDescent="0.3">
      <c r="A23" s="228">
        <v>900110</v>
      </c>
      <c r="B23" s="227">
        <v>89102</v>
      </c>
      <c r="C23" s="56"/>
      <c r="D23" s="873"/>
      <c r="E23" s="874"/>
      <c r="F23" s="915"/>
      <c r="G23" s="266" t="s">
        <v>53</v>
      </c>
      <c r="H23" s="266"/>
      <c r="I23" s="266">
        <f t="shared" ref="I23:S23" si="13">VLOOKUP($A23&amp;$B23&amp;I$9,Base,9,FALSE)</f>
        <v>0</v>
      </c>
      <c r="J23" s="266">
        <f t="shared" si="13"/>
        <v>0</v>
      </c>
      <c r="K23" s="266">
        <f t="shared" si="13"/>
        <v>0</v>
      </c>
      <c r="L23" s="266">
        <f t="shared" si="13"/>
        <v>0</v>
      </c>
      <c r="M23" s="266">
        <f t="shared" si="13"/>
        <v>0</v>
      </c>
      <c r="N23" s="266">
        <f t="shared" si="13"/>
        <v>141468.9</v>
      </c>
      <c r="O23" s="266">
        <f t="shared" si="13"/>
        <v>0</v>
      </c>
      <c r="P23" s="266">
        <f t="shared" si="13"/>
        <v>47156.3</v>
      </c>
      <c r="Q23" s="266">
        <f t="shared" si="13"/>
        <v>0</v>
      </c>
      <c r="R23" s="266">
        <f t="shared" si="13"/>
        <v>0</v>
      </c>
      <c r="S23" s="266">
        <f t="shared" si="13"/>
        <v>0</v>
      </c>
      <c r="T23" s="67">
        <f t="shared" si="3"/>
        <v>188625.2</v>
      </c>
      <c r="U23" s="916"/>
    </row>
    <row r="24" spans="1:21" ht="42.75" customHeight="1" thickTop="1" thickBot="1" x14ac:dyDescent="0.3">
      <c r="A24" s="228">
        <v>900110</v>
      </c>
      <c r="B24" s="227">
        <v>89107</v>
      </c>
      <c r="C24" s="56" t="s">
        <v>292</v>
      </c>
      <c r="D24" s="873" t="s">
        <v>293</v>
      </c>
      <c r="E24" s="874" t="s">
        <v>286</v>
      </c>
      <c r="F24" s="915">
        <f>SUM(H24:S24)</f>
        <v>469596</v>
      </c>
      <c r="G24" s="266" t="s">
        <v>52</v>
      </c>
      <c r="H24" s="266"/>
      <c r="I24" s="266">
        <f t="shared" ref="I24:S24" si="14">VLOOKUP($A24&amp;$B24&amp;I$9,Base,8,FALSE)</f>
        <v>0</v>
      </c>
      <c r="J24" s="266">
        <f t="shared" si="14"/>
        <v>78265.2</v>
      </c>
      <c r="K24" s="266">
        <f t="shared" si="14"/>
        <v>39132.6</v>
      </c>
      <c r="L24" s="266">
        <f t="shared" si="14"/>
        <v>39132.6</v>
      </c>
      <c r="M24" s="266">
        <f t="shared" si="14"/>
        <v>39132.6</v>
      </c>
      <c r="N24" s="266">
        <f t="shared" si="14"/>
        <v>39132.6</v>
      </c>
      <c r="O24" s="266">
        <f t="shared" si="14"/>
        <v>39132.6</v>
      </c>
      <c r="P24" s="266">
        <f t="shared" si="14"/>
        <v>39132.6</v>
      </c>
      <c r="Q24" s="266">
        <f t="shared" si="14"/>
        <v>39136.199999999997</v>
      </c>
      <c r="R24" s="266">
        <f t="shared" si="14"/>
        <v>39133</v>
      </c>
      <c r="S24" s="266">
        <f t="shared" si="14"/>
        <v>78266</v>
      </c>
      <c r="T24" s="67">
        <f ca="1">SUM($H24:(OFFSET($H24,0,AVANCE060826!$T$2)))</f>
        <v>352197</v>
      </c>
      <c r="U24" s="916" t="s">
        <v>278</v>
      </c>
    </row>
    <row r="25" spans="1:21" ht="42.75" customHeight="1" thickTop="1" thickBot="1" x14ac:dyDescent="0.3">
      <c r="A25" s="228">
        <v>900110</v>
      </c>
      <c r="B25" s="227">
        <v>89107</v>
      </c>
      <c r="C25" s="56"/>
      <c r="D25" s="873"/>
      <c r="E25" s="874"/>
      <c r="F25" s="915"/>
      <c r="G25" s="266" t="s">
        <v>53</v>
      </c>
      <c r="H25" s="266"/>
      <c r="I25" s="266">
        <f t="shared" ref="I25:S25" si="15">VLOOKUP($A25&amp;$B25&amp;I$9,Base,9,FALSE)</f>
        <v>0</v>
      </c>
      <c r="J25" s="266">
        <f t="shared" si="15"/>
        <v>78265.2</v>
      </c>
      <c r="K25" s="266">
        <f t="shared" si="15"/>
        <v>39132.6</v>
      </c>
      <c r="L25" s="266">
        <f t="shared" si="15"/>
        <v>39132.6</v>
      </c>
      <c r="M25" s="266">
        <f t="shared" si="15"/>
        <v>39132.6</v>
      </c>
      <c r="N25" s="266">
        <f t="shared" si="15"/>
        <v>39132.6</v>
      </c>
      <c r="O25" s="266">
        <f t="shared" si="15"/>
        <v>39132.6</v>
      </c>
      <c r="P25" s="266">
        <f t="shared" si="15"/>
        <v>39132.6</v>
      </c>
      <c r="Q25" s="266">
        <f t="shared" si="15"/>
        <v>39132.6</v>
      </c>
      <c r="R25" s="266">
        <f t="shared" si="15"/>
        <v>0</v>
      </c>
      <c r="S25" s="266">
        <f t="shared" si="15"/>
        <v>0</v>
      </c>
      <c r="T25" s="67">
        <f t="shared" si="3"/>
        <v>352193.39999999997</v>
      </c>
      <c r="U25" s="916"/>
    </row>
    <row r="26" spans="1:21" ht="41.25" customHeight="1" thickTop="1" thickBot="1" x14ac:dyDescent="0.3">
      <c r="A26" s="228">
        <v>900110</v>
      </c>
      <c r="B26" s="227">
        <v>89103</v>
      </c>
      <c r="C26" s="267" t="s">
        <v>280</v>
      </c>
      <c r="D26" s="873" t="s">
        <v>295</v>
      </c>
      <c r="E26" s="874" t="s">
        <v>239</v>
      </c>
      <c r="F26" s="915">
        <f>SUM(H26:S26)</f>
        <v>304140</v>
      </c>
      <c r="G26" s="266" t="s">
        <v>52</v>
      </c>
      <c r="H26" s="266"/>
      <c r="I26" s="266">
        <f t="shared" ref="I26:S26" si="16">VLOOKUP($A26&amp;$B26&amp;I$9,Base,8,FALSE)</f>
        <v>0</v>
      </c>
      <c r="J26" s="266">
        <f t="shared" si="16"/>
        <v>50689.66</v>
      </c>
      <c r="K26" s="266">
        <f t="shared" si="16"/>
        <v>25344.83</v>
      </c>
      <c r="L26" s="266">
        <f t="shared" si="16"/>
        <v>25344.83</v>
      </c>
      <c r="M26" s="266">
        <f t="shared" si="16"/>
        <v>25344.83</v>
      </c>
      <c r="N26" s="266">
        <f t="shared" si="16"/>
        <v>25344.83</v>
      </c>
      <c r="O26" s="266">
        <f t="shared" si="16"/>
        <v>25344.83</v>
      </c>
      <c r="P26" s="266">
        <f t="shared" si="16"/>
        <v>0</v>
      </c>
      <c r="Q26" s="266">
        <f t="shared" si="16"/>
        <v>50691.19</v>
      </c>
      <c r="R26" s="266">
        <f t="shared" si="16"/>
        <v>25345</v>
      </c>
      <c r="S26" s="266">
        <f t="shared" si="16"/>
        <v>50690</v>
      </c>
      <c r="T26" s="67">
        <f ca="1">SUM($H26:(OFFSET($H26,0,AVANCE060826!$T$2)))</f>
        <v>228105</v>
      </c>
      <c r="U26" s="916" t="s">
        <v>273</v>
      </c>
    </row>
    <row r="27" spans="1:21" ht="41.25" customHeight="1" thickTop="1" thickBot="1" x14ac:dyDescent="0.3">
      <c r="A27" s="228">
        <v>900110</v>
      </c>
      <c r="B27" s="227">
        <v>89103</v>
      </c>
      <c r="C27" s="267"/>
      <c r="D27" s="873"/>
      <c r="E27" s="874"/>
      <c r="F27" s="915"/>
      <c r="G27" s="266" t="s">
        <v>53</v>
      </c>
      <c r="H27" s="266"/>
      <c r="I27" s="266">
        <f t="shared" ref="I27:S27" si="17">VLOOKUP($A27&amp;$B27&amp;I$9,Base,9,FALSE)</f>
        <v>0</v>
      </c>
      <c r="J27" s="266">
        <f t="shared" si="17"/>
        <v>50689.66</v>
      </c>
      <c r="K27" s="266">
        <f t="shared" si="17"/>
        <v>25344.83</v>
      </c>
      <c r="L27" s="266">
        <f t="shared" si="17"/>
        <v>25344.83</v>
      </c>
      <c r="M27" s="266">
        <f t="shared" si="17"/>
        <v>25344.83</v>
      </c>
      <c r="N27" s="266">
        <f t="shared" si="17"/>
        <v>25344.83</v>
      </c>
      <c r="O27" s="266">
        <f t="shared" si="17"/>
        <v>25344.83</v>
      </c>
      <c r="P27" s="266">
        <f t="shared" si="17"/>
        <v>0</v>
      </c>
      <c r="Q27" s="266">
        <f t="shared" si="17"/>
        <v>0</v>
      </c>
      <c r="R27" s="266">
        <f t="shared" si="17"/>
        <v>0</v>
      </c>
      <c r="S27" s="266">
        <f t="shared" si="17"/>
        <v>0</v>
      </c>
      <c r="T27" s="67">
        <f t="shared" si="3"/>
        <v>177413.81</v>
      </c>
      <c r="U27" s="916"/>
    </row>
    <row r="28" spans="1:21" ht="44.25" customHeight="1" thickTop="1" thickBot="1" x14ac:dyDescent="0.3">
      <c r="A28" s="228">
        <v>380200</v>
      </c>
      <c r="B28" s="227">
        <v>85901</v>
      </c>
      <c r="C28" s="268" t="s">
        <v>297</v>
      </c>
      <c r="D28" s="873" t="s">
        <v>298</v>
      </c>
      <c r="E28" s="873" t="s">
        <v>299</v>
      </c>
      <c r="F28" s="915">
        <f>SUM(H28:S28)</f>
        <v>292920</v>
      </c>
      <c r="G28" s="266" t="s">
        <v>52</v>
      </c>
      <c r="H28" s="266"/>
      <c r="I28" s="266">
        <f t="shared" ref="I28:S28" si="18">VLOOKUP($A28&amp;$B28&amp;I$9,Base,8,FALSE)</f>
        <v>0</v>
      </c>
      <c r="J28" s="266">
        <f t="shared" si="18"/>
        <v>0</v>
      </c>
      <c r="K28" s="266">
        <f t="shared" si="18"/>
        <v>73226.16</v>
      </c>
      <c r="L28" s="266">
        <f t="shared" si="18"/>
        <v>24408.720000000001</v>
      </c>
      <c r="M28" s="266">
        <f t="shared" si="18"/>
        <v>24408.720000000001</v>
      </c>
      <c r="N28" s="266">
        <f t="shared" si="18"/>
        <v>0</v>
      </c>
      <c r="O28" s="266">
        <f t="shared" si="18"/>
        <v>48817.440000000002</v>
      </c>
      <c r="P28" s="266">
        <f t="shared" si="18"/>
        <v>0</v>
      </c>
      <c r="Q28" s="266">
        <f t="shared" si="18"/>
        <v>48828.959999999999</v>
      </c>
      <c r="R28" s="266">
        <f t="shared" si="18"/>
        <v>24410</v>
      </c>
      <c r="S28" s="266">
        <f t="shared" si="18"/>
        <v>48820</v>
      </c>
      <c r="T28" s="67">
        <f ca="1">SUM($H28:(OFFSET($H28,0,AVANCE060826!$T$2)))</f>
        <v>219690</v>
      </c>
      <c r="U28" s="916" t="s">
        <v>273</v>
      </c>
    </row>
    <row r="29" spans="1:21" ht="44.25" customHeight="1" thickTop="1" thickBot="1" x14ac:dyDescent="0.3">
      <c r="A29" s="228">
        <v>380200</v>
      </c>
      <c r="B29" s="227">
        <v>85901</v>
      </c>
      <c r="C29" s="268"/>
      <c r="D29" s="873"/>
      <c r="E29" s="873"/>
      <c r="F29" s="915"/>
      <c r="G29" s="266" t="s">
        <v>53</v>
      </c>
      <c r="H29" s="266"/>
      <c r="I29" s="266">
        <f t="shared" ref="I29:S29" si="19">VLOOKUP($A29&amp;$B29&amp;I$9,Base,9,FALSE)</f>
        <v>0</v>
      </c>
      <c r="J29" s="266">
        <f t="shared" si="19"/>
        <v>0</v>
      </c>
      <c r="K29" s="266">
        <f t="shared" si="19"/>
        <v>73226.16</v>
      </c>
      <c r="L29" s="266">
        <f t="shared" si="19"/>
        <v>24408.720000000001</v>
      </c>
      <c r="M29" s="266">
        <f t="shared" si="19"/>
        <v>24408.720000000001</v>
      </c>
      <c r="N29" s="266">
        <f t="shared" si="19"/>
        <v>0</v>
      </c>
      <c r="O29" s="266">
        <f t="shared" si="19"/>
        <v>48817.440000000002</v>
      </c>
      <c r="P29" s="266">
        <f t="shared" si="19"/>
        <v>0</v>
      </c>
      <c r="Q29" s="266">
        <f t="shared" si="19"/>
        <v>0</v>
      </c>
      <c r="R29" s="266">
        <f t="shared" si="19"/>
        <v>0</v>
      </c>
      <c r="S29" s="266">
        <f t="shared" si="19"/>
        <v>0</v>
      </c>
      <c r="T29" s="67">
        <f t="shared" si="3"/>
        <v>170861.04</v>
      </c>
      <c r="U29" s="916"/>
    </row>
    <row r="30" spans="1:21" ht="45" customHeight="1" thickTop="1" thickBot="1" x14ac:dyDescent="0.3">
      <c r="A30" s="228">
        <v>380200</v>
      </c>
      <c r="B30" s="227">
        <v>85905</v>
      </c>
      <c r="C30" s="269" t="s">
        <v>301</v>
      </c>
      <c r="D30" s="873" t="s">
        <v>302</v>
      </c>
      <c r="E30" s="873" t="s">
        <v>303</v>
      </c>
      <c r="F30" s="915">
        <f>SUM(H30:S30)</f>
        <v>810440.64</v>
      </c>
      <c r="G30" s="266" t="s">
        <v>52</v>
      </c>
      <c r="H30" s="266"/>
      <c r="I30" s="266">
        <f t="shared" ref="I30:S30" si="20">VLOOKUP($A30&amp;$B30&amp;I$9,Base,8,FALSE)</f>
        <v>0</v>
      </c>
      <c r="J30" s="266">
        <f t="shared" si="20"/>
        <v>0</v>
      </c>
      <c r="K30" s="266">
        <f t="shared" si="20"/>
        <v>0</v>
      </c>
      <c r="L30" s="266">
        <f t="shared" si="20"/>
        <v>0</v>
      </c>
      <c r="M30" s="266">
        <f t="shared" si="20"/>
        <v>337683.6</v>
      </c>
      <c r="N30" s="266">
        <f t="shared" si="20"/>
        <v>0</v>
      </c>
      <c r="O30" s="266">
        <f t="shared" si="20"/>
        <v>0</v>
      </c>
      <c r="P30" s="266">
        <f t="shared" si="20"/>
        <v>0</v>
      </c>
      <c r="Q30" s="266">
        <f t="shared" si="20"/>
        <v>270149.40000000002</v>
      </c>
      <c r="R30" s="266">
        <f t="shared" si="20"/>
        <v>67537</v>
      </c>
      <c r="S30" s="266">
        <f t="shared" si="20"/>
        <v>135070.64000000001</v>
      </c>
      <c r="T30" s="67">
        <f ca="1">SUM($H30:(OFFSET($H30,0,AVANCE060826!$T$2)))</f>
        <v>607833</v>
      </c>
      <c r="U30" s="916" t="s">
        <v>273</v>
      </c>
    </row>
    <row r="31" spans="1:21" ht="45" customHeight="1" thickTop="1" thickBot="1" x14ac:dyDescent="0.3">
      <c r="A31" s="228">
        <v>380200</v>
      </c>
      <c r="B31" s="227">
        <v>85905</v>
      </c>
      <c r="C31" s="269"/>
      <c r="D31" s="873"/>
      <c r="E31" s="873"/>
      <c r="F31" s="915"/>
      <c r="G31" s="266" t="s">
        <v>53</v>
      </c>
      <c r="H31" s="266"/>
      <c r="I31" s="266">
        <f t="shared" ref="I31:S31" si="21">VLOOKUP($A31&amp;$B31&amp;I$9,Base,9,FALSE)</f>
        <v>0</v>
      </c>
      <c r="J31" s="266">
        <f t="shared" si="21"/>
        <v>0</v>
      </c>
      <c r="K31" s="266">
        <f t="shared" si="21"/>
        <v>0</v>
      </c>
      <c r="L31" s="266">
        <f t="shared" si="21"/>
        <v>0</v>
      </c>
      <c r="M31" s="266">
        <f t="shared" si="21"/>
        <v>337683.6</v>
      </c>
      <c r="N31" s="266">
        <f t="shared" si="21"/>
        <v>0</v>
      </c>
      <c r="O31" s="266">
        <f t="shared" si="21"/>
        <v>0</v>
      </c>
      <c r="P31" s="266">
        <f t="shared" si="21"/>
        <v>0</v>
      </c>
      <c r="Q31" s="266">
        <f t="shared" si="21"/>
        <v>0</v>
      </c>
      <c r="R31" s="266">
        <f t="shared" si="21"/>
        <v>0</v>
      </c>
      <c r="S31" s="266">
        <f t="shared" si="21"/>
        <v>0</v>
      </c>
      <c r="T31" s="67">
        <f t="shared" si="3"/>
        <v>337683.6</v>
      </c>
      <c r="U31" s="916"/>
    </row>
    <row r="32" spans="1:21" ht="86.25" customHeight="1" thickTop="1" thickBot="1" x14ac:dyDescent="0.3">
      <c r="A32" s="228">
        <v>150900</v>
      </c>
      <c r="B32" s="227">
        <v>88001</v>
      </c>
      <c r="C32" s="270" t="s">
        <v>297</v>
      </c>
      <c r="D32" s="873" t="s">
        <v>305</v>
      </c>
      <c r="E32" s="874" t="s">
        <v>306</v>
      </c>
      <c r="F32" s="915">
        <f>SUM(H32:S32)</f>
        <v>588036.48</v>
      </c>
      <c r="G32" s="266" t="s">
        <v>52</v>
      </c>
      <c r="H32" s="266">
        <v>49003.040000000001</v>
      </c>
      <c r="I32" s="266">
        <v>49003.040000000001</v>
      </c>
      <c r="J32" s="266">
        <v>49003.040000000001</v>
      </c>
      <c r="K32" s="266">
        <v>49003.040000000001</v>
      </c>
      <c r="L32" s="266">
        <v>49003.040000000001</v>
      </c>
      <c r="M32" s="266">
        <v>49003.040000000001</v>
      </c>
      <c r="N32" s="266">
        <v>49003.040000000001</v>
      </c>
      <c r="O32" s="266">
        <v>49003.040000000001</v>
      </c>
      <c r="P32" s="266">
        <v>49003.040000000001</v>
      </c>
      <c r="Q32" s="266">
        <v>49003.040000000001</v>
      </c>
      <c r="R32" s="266">
        <v>49003.040000000001</v>
      </c>
      <c r="S32" s="266">
        <v>49003.040000000001</v>
      </c>
      <c r="T32" s="67">
        <f ca="1">SUM($H32:(OFFSET($H32,0,AVANCE060826!$T$2)))</f>
        <v>490030.39999999991</v>
      </c>
      <c r="U32" s="916" t="s">
        <v>278</v>
      </c>
    </row>
    <row r="33" spans="1:23" ht="86.25" customHeight="1" thickTop="1" thickBot="1" x14ac:dyDescent="0.3">
      <c r="A33" s="228">
        <v>150900</v>
      </c>
      <c r="B33" s="760">
        <v>88001</v>
      </c>
      <c r="C33" s="270"/>
      <c r="D33" s="873"/>
      <c r="E33" s="874"/>
      <c r="F33" s="915"/>
      <c r="G33" s="266" t="s">
        <v>53</v>
      </c>
      <c r="H33" s="761"/>
      <c r="I33" s="761"/>
      <c r="J33" s="761"/>
      <c r="K33" s="761">
        <v>183670.92</v>
      </c>
      <c r="L33" s="761"/>
      <c r="M33" s="761">
        <v>122447.28</v>
      </c>
      <c r="N33" s="761"/>
      <c r="O33" s="761">
        <v>49001.86</v>
      </c>
      <c r="P33" s="761">
        <v>122447.28</v>
      </c>
      <c r="Q33" s="761"/>
      <c r="R33" s="761"/>
      <c r="S33" s="761"/>
      <c r="T33" s="67">
        <f t="shared" si="3"/>
        <v>477567.33999999997</v>
      </c>
      <c r="U33" s="916"/>
    </row>
    <row r="34" spans="1:23" ht="48" customHeight="1" thickTop="1" thickBot="1" x14ac:dyDescent="0.3">
      <c r="A34" s="228">
        <v>150900</v>
      </c>
      <c r="B34" s="227">
        <v>88001</v>
      </c>
      <c r="C34" s="270" t="s">
        <v>297</v>
      </c>
      <c r="D34" s="873" t="s">
        <v>307</v>
      </c>
      <c r="E34" s="874" t="s">
        <v>308</v>
      </c>
      <c r="F34" s="915">
        <f>SUM(H34:S34)</f>
        <v>1246797</v>
      </c>
      <c r="G34" s="266" t="s">
        <v>52</v>
      </c>
      <c r="H34" s="266">
        <v>103899.75</v>
      </c>
      <c r="I34" s="266">
        <v>103899.75</v>
      </c>
      <c r="J34" s="266">
        <v>103899.75</v>
      </c>
      <c r="K34" s="266">
        <v>103899.75</v>
      </c>
      <c r="L34" s="266">
        <v>103899.75</v>
      </c>
      <c r="M34" s="266">
        <v>103899.75</v>
      </c>
      <c r="N34" s="266">
        <v>103899.75</v>
      </c>
      <c r="O34" s="266">
        <v>103899.75</v>
      </c>
      <c r="P34" s="266">
        <v>103899.75</v>
      </c>
      <c r="Q34" s="266">
        <v>103899.75</v>
      </c>
      <c r="R34" s="266">
        <v>103899.75</v>
      </c>
      <c r="S34" s="266">
        <v>103899.75</v>
      </c>
      <c r="T34" s="67">
        <f ca="1">SUM($H34:(OFFSET($H34,0,AVANCE060826!$T$2)))</f>
        <v>1038997.5</v>
      </c>
      <c r="U34" s="916" t="s">
        <v>278</v>
      </c>
    </row>
    <row r="35" spans="1:23" ht="48" customHeight="1" thickTop="1" thickBot="1" x14ac:dyDescent="0.3">
      <c r="A35" s="228">
        <v>150900</v>
      </c>
      <c r="B35" s="760">
        <v>88001</v>
      </c>
      <c r="C35" s="270"/>
      <c r="D35" s="873"/>
      <c r="E35" s="874"/>
      <c r="F35" s="915"/>
      <c r="G35" s="266" t="s">
        <v>53</v>
      </c>
      <c r="H35" s="761"/>
      <c r="I35" s="761"/>
      <c r="J35" s="761"/>
      <c r="K35" s="761">
        <v>183670.92</v>
      </c>
      <c r="L35" s="761"/>
      <c r="M35" s="761">
        <v>122447.28</v>
      </c>
      <c r="N35" s="761"/>
      <c r="O35" s="761">
        <v>103899.75</v>
      </c>
      <c r="P35" s="761">
        <v>122447.28</v>
      </c>
      <c r="Q35" s="761"/>
      <c r="R35" s="761"/>
      <c r="S35" s="761"/>
      <c r="T35" s="67">
        <f ca="1">SUM($H35:(OFFSET($H35,0,AVANCE060826!$T$2)))</f>
        <v>532465.23</v>
      </c>
      <c r="U35" s="916"/>
    </row>
    <row r="36" spans="1:23" ht="42" customHeight="1" thickTop="1" thickBot="1" x14ac:dyDescent="0.3">
      <c r="A36" s="228">
        <v>920201</v>
      </c>
      <c r="B36" s="227">
        <v>88002</v>
      </c>
      <c r="C36" s="270" t="s">
        <v>297</v>
      </c>
      <c r="D36" s="873" t="s">
        <v>310</v>
      </c>
      <c r="E36" s="873" t="s">
        <v>311</v>
      </c>
      <c r="F36" s="915">
        <f>SUM(H36:S36)</f>
        <v>337536</v>
      </c>
      <c r="G36" s="266" t="s">
        <v>52</v>
      </c>
      <c r="H36" s="266"/>
      <c r="I36" s="266">
        <f t="shared" ref="I36:S36" si="22">VLOOKUP($A36&amp;$B36&amp;I$9,Base,8,FALSE)</f>
        <v>0</v>
      </c>
      <c r="J36" s="266">
        <f t="shared" si="22"/>
        <v>0</v>
      </c>
      <c r="K36" s="266">
        <f t="shared" si="22"/>
        <v>72743.97</v>
      </c>
      <c r="L36" s="266">
        <f t="shared" si="22"/>
        <v>0</v>
      </c>
      <c r="M36" s="266">
        <f t="shared" si="22"/>
        <v>48495.98</v>
      </c>
      <c r="N36" s="266">
        <f t="shared" si="22"/>
        <v>24247.99</v>
      </c>
      <c r="O36" s="266">
        <f t="shared" si="22"/>
        <v>24247.99</v>
      </c>
      <c r="P36" s="266">
        <f t="shared" si="22"/>
        <v>24247.99</v>
      </c>
      <c r="Q36" s="266">
        <f t="shared" si="22"/>
        <v>59168.08</v>
      </c>
      <c r="R36" s="266">
        <f t="shared" si="22"/>
        <v>28128</v>
      </c>
      <c r="S36" s="266">
        <f t="shared" si="22"/>
        <v>56256</v>
      </c>
      <c r="T36" s="67">
        <f ca="1">SUM($H36:(OFFSET($H36,0,AVANCE060826!$T$2)))</f>
        <v>253152</v>
      </c>
      <c r="U36" s="876" t="s">
        <v>287</v>
      </c>
    </row>
    <row r="37" spans="1:23" ht="42" customHeight="1" thickTop="1" thickBot="1" x14ac:dyDescent="0.3">
      <c r="A37" s="228">
        <v>920201</v>
      </c>
      <c r="B37" s="227">
        <v>88002</v>
      </c>
      <c r="C37" s="270"/>
      <c r="D37" s="873"/>
      <c r="E37" s="873"/>
      <c r="F37" s="915"/>
      <c r="G37" s="266" t="s">
        <v>53</v>
      </c>
      <c r="H37" s="266"/>
      <c r="I37" s="266">
        <f t="shared" ref="I37:S37" si="23">VLOOKUP($A37&amp;$B37&amp;I$9,Base,9,FALSE)</f>
        <v>0</v>
      </c>
      <c r="J37" s="266">
        <f t="shared" si="23"/>
        <v>0</v>
      </c>
      <c r="K37" s="266">
        <f t="shared" si="23"/>
        <v>72743.97</v>
      </c>
      <c r="L37" s="266">
        <f t="shared" si="23"/>
        <v>0</v>
      </c>
      <c r="M37" s="266">
        <f t="shared" si="23"/>
        <v>48495.98</v>
      </c>
      <c r="N37" s="266">
        <f t="shared" si="23"/>
        <v>24247.99</v>
      </c>
      <c r="O37" s="266">
        <f t="shared" si="23"/>
        <v>24247.99</v>
      </c>
      <c r="P37" s="266">
        <f t="shared" si="23"/>
        <v>24247.99</v>
      </c>
      <c r="Q37" s="266">
        <f t="shared" si="23"/>
        <v>0</v>
      </c>
      <c r="R37" s="266">
        <f t="shared" si="23"/>
        <v>0</v>
      </c>
      <c r="S37" s="266">
        <f t="shared" si="23"/>
        <v>0</v>
      </c>
      <c r="T37" s="67">
        <f t="shared" si="3"/>
        <v>193983.91999999998</v>
      </c>
      <c r="U37" s="876"/>
      <c r="W37" s="9"/>
    </row>
    <row r="38" spans="1:23" ht="73.5" customHeight="1" thickTop="1" thickBot="1" x14ac:dyDescent="0.3">
      <c r="A38" s="228">
        <v>920110</v>
      </c>
      <c r="B38" s="227">
        <v>89105</v>
      </c>
      <c r="C38" s="269" t="s">
        <v>284</v>
      </c>
      <c r="D38" s="873" t="s">
        <v>313</v>
      </c>
      <c r="E38" s="873" t="s">
        <v>311</v>
      </c>
      <c r="F38" s="915">
        <f>SUM(H38:S38)</f>
        <v>371472</v>
      </c>
      <c r="G38" s="266" t="s">
        <v>52</v>
      </c>
      <c r="H38" s="266"/>
      <c r="I38" s="266">
        <f t="shared" ref="I38:S38" si="24">VLOOKUP($A38&amp;$B38&amp;I$9,Base,8,FALSE)</f>
        <v>0</v>
      </c>
      <c r="J38" s="266">
        <f t="shared" si="24"/>
        <v>0</v>
      </c>
      <c r="K38" s="266">
        <f t="shared" si="24"/>
        <v>0</v>
      </c>
      <c r="L38" s="266">
        <f t="shared" si="24"/>
        <v>123818.76</v>
      </c>
      <c r="M38" s="266">
        <f t="shared" si="24"/>
        <v>30954.69</v>
      </c>
      <c r="N38" s="266">
        <f t="shared" si="24"/>
        <v>30954.69</v>
      </c>
      <c r="O38" s="266">
        <f t="shared" si="24"/>
        <v>30954.69</v>
      </c>
      <c r="P38" s="266">
        <f t="shared" si="24"/>
        <v>30954.69</v>
      </c>
      <c r="Q38" s="266">
        <f t="shared" si="24"/>
        <v>30966.48</v>
      </c>
      <c r="R38" s="266">
        <f t="shared" si="24"/>
        <v>30956</v>
      </c>
      <c r="S38" s="266">
        <f t="shared" si="24"/>
        <v>61912</v>
      </c>
      <c r="T38" s="67">
        <f ca="1">SUM($H38:(OFFSET($H38,0,AVANCE060826!$T$2)))</f>
        <v>278604</v>
      </c>
      <c r="U38" s="916" t="s">
        <v>278</v>
      </c>
    </row>
    <row r="39" spans="1:23" ht="73.5" customHeight="1" thickTop="1" thickBot="1" x14ac:dyDescent="0.3">
      <c r="A39" s="228">
        <v>920110</v>
      </c>
      <c r="B39" s="227">
        <v>89105</v>
      </c>
      <c r="C39" s="269"/>
      <c r="D39" s="873"/>
      <c r="E39" s="873"/>
      <c r="F39" s="915"/>
      <c r="G39" s="266" t="s">
        <v>53</v>
      </c>
      <c r="H39" s="266"/>
      <c r="I39" s="266">
        <f t="shared" ref="I39:S39" si="25">VLOOKUP($A39&amp;$B39&amp;I$9,Base,9,FALSE)</f>
        <v>0</v>
      </c>
      <c r="J39" s="266">
        <f t="shared" si="25"/>
        <v>0</v>
      </c>
      <c r="K39" s="266">
        <f t="shared" si="25"/>
        <v>0</v>
      </c>
      <c r="L39" s="266">
        <f t="shared" si="25"/>
        <v>123818.76</v>
      </c>
      <c r="M39" s="266">
        <f t="shared" si="25"/>
        <v>30954.69</v>
      </c>
      <c r="N39" s="266">
        <f t="shared" si="25"/>
        <v>30954.69</v>
      </c>
      <c r="O39" s="266">
        <f t="shared" si="25"/>
        <v>30954.69</v>
      </c>
      <c r="P39" s="266">
        <f t="shared" si="25"/>
        <v>30954.69</v>
      </c>
      <c r="Q39" s="266">
        <f t="shared" si="25"/>
        <v>30954.69</v>
      </c>
      <c r="R39" s="266">
        <f t="shared" si="25"/>
        <v>0</v>
      </c>
      <c r="S39" s="266">
        <f t="shared" si="25"/>
        <v>0</v>
      </c>
      <c r="T39" s="67">
        <f t="shared" si="3"/>
        <v>278592.20999999996</v>
      </c>
      <c r="U39" s="916"/>
    </row>
    <row r="40" spans="1:23" ht="57" customHeight="1" thickTop="1" thickBot="1" x14ac:dyDescent="0.3">
      <c r="A40" s="228">
        <v>150900</v>
      </c>
      <c r="B40" s="760">
        <v>88001</v>
      </c>
      <c r="C40" s="270" t="s">
        <v>297</v>
      </c>
      <c r="D40" s="873" t="s">
        <v>314</v>
      </c>
      <c r="E40" s="874" t="s">
        <v>315</v>
      </c>
      <c r="F40" s="915">
        <f>SUM(H40:S40)</f>
        <v>369231.72000000003</v>
      </c>
      <c r="G40" s="266" t="s">
        <v>52</v>
      </c>
      <c r="H40" s="266">
        <v>30769.31</v>
      </c>
      <c r="I40" s="266">
        <v>30769.31</v>
      </c>
      <c r="J40" s="266">
        <v>30769.31</v>
      </c>
      <c r="K40" s="266">
        <v>30769.31</v>
      </c>
      <c r="L40" s="266">
        <v>30769.31</v>
      </c>
      <c r="M40" s="266">
        <v>30769.31</v>
      </c>
      <c r="N40" s="266">
        <v>30769.31</v>
      </c>
      <c r="O40" s="266">
        <v>30769.31</v>
      </c>
      <c r="P40" s="266">
        <v>30769.31</v>
      </c>
      <c r="Q40" s="266">
        <v>30769.31</v>
      </c>
      <c r="R40" s="266">
        <v>30769.31</v>
      </c>
      <c r="S40" s="266">
        <v>30769.31</v>
      </c>
      <c r="T40" s="67">
        <f ca="1">SUM($H40:(OFFSET($H40,0,AVANCE060826!$T$2)))</f>
        <v>307693.10000000003</v>
      </c>
      <c r="U40" s="916" t="s">
        <v>278</v>
      </c>
      <c r="W40" s="9"/>
    </row>
    <row r="41" spans="1:23" ht="57" customHeight="1" thickTop="1" x14ac:dyDescent="0.25">
      <c r="A41" s="228">
        <v>150900</v>
      </c>
      <c r="B41" s="227">
        <v>88001</v>
      </c>
      <c r="C41" s="271"/>
      <c r="D41" s="873"/>
      <c r="E41" s="874"/>
      <c r="F41" s="915"/>
      <c r="G41" s="266" t="s">
        <v>53</v>
      </c>
      <c r="H41" s="761"/>
      <c r="I41" s="761"/>
      <c r="J41" s="761"/>
      <c r="K41" s="761">
        <v>183670.92</v>
      </c>
      <c r="L41" s="761"/>
      <c r="M41" s="761">
        <v>122447.28</v>
      </c>
      <c r="N41" s="761"/>
      <c r="O41" s="761">
        <v>30769.31</v>
      </c>
      <c r="P41" s="761">
        <v>122447.28</v>
      </c>
      <c r="Q41" s="761"/>
      <c r="R41" s="761"/>
      <c r="S41" s="761"/>
      <c r="T41" s="67">
        <f t="shared" si="3"/>
        <v>459334.79000000004</v>
      </c>
      <c r="U41" s="916"/>
    </row>
    <row r="42" spans="1:23" ht="54" customHeight="1" x14ac:dyDescent="0.25">
      <c r="A42" s="273">
        <v>73110</v>
      </c>
      <c r="B42" s="272">
        <v>89303</v>
      </c>
      <c r="C42" s="274" t="s">
        <v>280</v>
      </c>
      <c r="D42" s="873" t="s">
        <v>316</v>
      </c>
      <c r="E42" s="874" t="s">
        <v>255</v>
      </c>
      <c r="F42" s="915">
        <f>SUM(H42:S42)</f>
        <v>0</v>
      </c>
      <c r="G42" s="266" t="s">
        <v>52</v>
      </c>
      <c r="H42" s="266"/>
      <c r="I42" s="266">
        <f t="shared" ref="I42:S42" si="26">VLOOKUP($A42&amp;$B42&amp;I$9,Base,8,FALSE)</f>
        <v>0</v>
      </c>
      <c r="J42" s="266">
        <f t="shared" si="26"/>
        <v>0</v>
      </c>
      <c r="K42" s="266">
        <f t="shared" si="26"/>
        <v>0</v>
      </c>
      <c r="L42" s="266">
        <f t="shared" si="26"/>
        <v>0</v>
      </c>
      <c r="M42" s="266">
        <f t="shared" si="26"/>
        <v>0</v>
      </c>
      <c r="N42" s="266">
        <f t="shared" si="26"/>
        <v>0</v>
      </c>
      <c r="O42" s="266">
        <f t="shared" si="26"/>
        <v>0</v>
      </c>
      <c r="P42" s="266">
        <f t="shared" si="26"/>
        <v>0</v>
      </c>
      <c r="Q42" s="266">
        <f t="shared" si="26"/>
        <v>0</v>
      </c>
      <c r="R42" s="266">
        <f t="shared" si="26"/>
        <v>0</v>
      </c>
      <c r="S42" s="266">
        <f t="shared" si="26"/>
        <v>0</v>
      </c>
      <c r="T42" s="67">
        <f t="shared" si="3"/>
        <v>0</v>
      </c>
      <c r="U42" s="876" t="s">
        <v>317</v>
      </c>
    </row>
    <row r="43" spans="1:23" ht="54" customHeight="1" x14ac:dyDescent="0.25">
      <c r="A43" s="273">
        <v>73110</v>
      </c>
      <c r="B43" s="272">
        <v>89303</v>
      </c>
      <c r="C43" s="275"/>
      <c r="D43" s="873"/>
      <c r="E43" s="874"/>
      <c r="F43" s="915"/>
      <c r="G43" s="266" t="s">
        <v>53</v>
      </c>
      <c r="H43" s="266"/>
      <c r="I43" s="266">
        <f t="shared" ref="I43:S43" si="27">VLOOKUP($A43&amp;$B43&amp;I$9,Base,9,FALSE)</f>
        <v>0</v>
      </c>
      <c r="J43" s="266">
        <f t="shared" si="27"/>
        <v>0</v>
      </c>
      <c r="K43" s="266">
        <f t="shared" si="27"/>
        <v>0</v>
      </c>
      <c r="L43" s="266">
        <f t="shared" si="27"/>
        <v>0</v>
      </c>
      <c r="M43" s="266">
        <f t="shared" si="27"/>
        <v>0</v>
      </c>
      <c r="N43" s="266">
        <f t="shared" si="27"/>
        <v>0</v>
      </c>
      <c r="O43" s="266">
        <f t="shared" si="27"/>
        <v>0</v>
      </c>
      <c r="P43" s="266">
        <f t="shared" si="27"/>
        <v>0</v>
      </c>
      <c r="Q43" s="266">
        <f t="shared" si="27"/>
        <v>0</v>
      </c>
      <c r="R43" s="266">
        <f t="shared" si="27"/>
        <v>0</v>
      </c>
      <c r="S43" s="266">
        <f t="shared" si="27"/>
        <v>0</v>
      </c>
      <c r="T43" s="67">
        <f t="shared" si="3"/>
        <v>0</v>
      </c>
      <c r="U43" s="876"/>
    </row>
    <row r="44" spans="1:23" ht="15.75" thickBot="1" x14ac:dyDescent="0.3">
      <c r="A44" s="40">
        <v>15</v>
      </c>
      <c r="B44" s="4"/>
      <c r="C44" s="24">
        <f>COUNT(#REF!)</f>
        <v>0</v>
      </c>
      <c r="D44" s="7"/>
      <c r="E44" s="6"/>
      <c r="F44" s="32">
        <f>SUM(F12:F42)</f>
        <v>6820797.8399999999</v>
      </c>
      <c r="G44" s="266" t="s">
        <v>52</v>
      </c>
      <c r="H44" s="276">
        <f>+H42+H40+H38+H36+H34+H32+H30+H28+H26+H24+H22+H20+H18+H16+H14+H12</f>
        <v>183672.1</v>
      </c>
      <c r="I44" s="276">
        <f t="shared" ref="I44:S44" si="28">+I42+I40+I38+I36+I34+I32+I30+I28+I26+I24+I22+I20+I18+I16+I14+I12</f>
        <v>387792.1</v>
      </c>
      <c r="J44" s="276">
        <f t="shared" si="28"/>
        <v>347575.43</v>
      </c>
      <c r="K44" s="276">
        <f t="shared" si="28"/>
        <v>477113.47999999992</v>
      </c>
      <c r="L44" s="276">
        <f t="shared" si="28"/>
        <v>626869</v>
      </c>
      <c r="M44" s="276">
        <f t="shared" si="28"/>
        <v>865323.74999999988</v>
      </c>
      <c r="N44" s="276">
        <f t="shared" si="28"/>
        <v>586195.22</v>
      </c>
      <c r="O44" s="276">
        <f t="shared" si="28"/>
        <v>595603.75999999989</v>
      </c>
      <c r="P44" s="276">
        <f t="shared" si="28"/>
        <v>449230.02999999997</v>
      </c>
      <c r="Q44" s="276">
        <f t="shared" si="28"/>
        <v>881958.13</v>
      </c>
      <c r="R44" s="276">
        <f t="shared" si="28"/>
        <v>568400.1</v>
      </c>
      <c r="S44" s="276">
        <f t="shared" si="28"/>
        <v>851064.74</v>
      </c>
      <c r="T44" s="125">
        <f>SUM(H44:S44)</f>
        <v>6820797.8399999999</v>
      </c>
      <c r="U44" s="5"/>
    </row>
    <row r="45" spans="1:23" ht="31.5" customHeight="1" x14ac:dyDescent="0.25">
      <c r="F45" s="3"/>
      <c r="G45" s="266" t="s">
        <v>53</v>
      </c>
      <c r="H45" s="186">
        <f>+H43+H41+H39+H37+H35+H33+H31+H29+H27+H25+H23+H21+H17+H19+H15+H13</f>
        <v>0</v>
      </c>
      <c r="I45" s="186">
        <f t="shared" ref="I45:S45" si="29">+I43+I41+I39+I37+I35+I33+I31+I29+I27+I25+I23+I21+I17+I19+I15+I13</f>
        <v>204120</v>
      </c>
      <c r="J45" s="186">
        <f t="shared" si="29"/>
        <v>163903.32999999999</v>
      </c>
      <c r="K45" s="186">
        <f>+K43+K41+K39+K37+K35+K33+K31+K29+K27+K25+K23+K21+K17+K19+K15+K13</f>
        <v>844454.14000000013</v>
      </c>
      <c r="L45" s="186">
        <f t="shared" si="29"/>
        <v>443196.9</v>
      </c>
      <c r="M45" s="186">
        <f t="shared" si="29"/>
        <v>1048993.49</v>
      </c>
      <c r="N45" s="186">
        <f t="shared" si="29"/>
        <v>402523.12</v>
      </c>
      <c r="O45" s="186">
        <f>+O43+O41+O39+O37+O35+O33+O31+O29+O27+O25+O23+O21+O17+O19+O15+O13</f>
        <v>595602.57999999996</v>
      </c>
      <c r="P45" s="186">
        <f t="shared" si="29"/>
        <v>632899.7699999999</v>
      </c>
      <c r="Q45" s="186">
        <f t="shared" si="29"/>
        <v>83029.409999999989</v>
      </c>
      <c r="R45" s="186">
        <f t="shared" si="29"/>
        <v>0</v>
      </c>
      <c r="S45" s="186">
        <f t="shared" si="29"/>
        <v>0</v>
      </c>
      <c r="T45" s="125">
        <f>SUM(H45:S45)</f>
        <v>4418722.74</v>
      </c>
      <c r="U45" s="857"/>
    </row>
    <row r="46" spans="1:23" ht="31.5" customHeight="1" x14ac:dyDescent="0.25">
      <c r="E46" s="27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857"/>
    </row>
  </sheetData>
  <autoFilter ref="B11:B46"/>
  <mergeCells count="85">
    <mergeCell ref="U42:U43"/>
    <mergeCell ref="U45:U46"/>
    <mergeCell ref="D42:D43"/>
    <mergeCell ref="E42:E43"/>
    <mergeCell ref="F42:F43"/>
    <mergeCell ref="U38:U39"/>
    <mergeCell ref="D40:D41"/>
    <mergeCell ref="E40:E41"/>
    <mergeCell ref="F40:F41"/>
    <mergeCell ref="U40:U41"/>
    <mergeCell ref="D38:D39"/>
    <mergeCell ref="E38:E39"/>
    <mergeCell ref="F38:F39"/>
    <mergeCell ref="U34:U35"/>
    <mergeCell ref="D36:D37"/>
    <mergeCell ref="E36:E37"/>
    <mergeCell ref="F36:F37"/>
    <mergeCell ref="U36:U37"/>
    <mergeCell ref="D34:D35"/>
    <mergeCell ref="E34:E35"/>
    <mergeCell ref="F34:F35"/>
    <mergeCell ref="U30:U31"/>
    <mergeCell ref="D32:D33"/>
    <mergeCell ref="E32:E33"/>
    <mergeCell ref="F32:F33"/>
    <mergeCell ref="U32:U33"/>
    <mergeCell ref="D30:D31"/>
    <mergeCell ref="E30:E31"/>
    <mergeCell ref="F30:F31"/>
    <mergeCell ref="U26:U27"/>
    <mergeCell ref="D28:D29"/>
    <mergeCell ref="E28:E29"/>
    <mergeCell ref="F28:F29"/>
    <mergeCell ref="U28:U29"/>
    <mergeCell ref="D26:D27"/>
    <mergeCell ref="E26:E27"/>
    <mergeCell ref="F26:F27"/>
    <mergeCell ref="U22:U23"/>
    <mergeCell ref="D24:D25"/>
    <mergeCell ref="E24:E25"/>
    <mergeCell ref="F24:F25"/>
    <mergeCell ref="U24:U25"/>
    <mergeCell ref="D22:D23"/>
    <mergeCell ref="E22:E23"/>
    <mergeCell ref="F22:F23"/>
    <mergeCell ref="U18:U19"/>
    <mergeCell ref="D20:D21"/>
    <mergeCell ref="E20:E21"/>
    <mergeCell ref="F20:F21"/>
    <mergeCell ref="U20:U21"/>
    <mergeCell ref="D18:D19"/>
    <mergeCell ref="E18:E19"/>
    <mergeCell ref="F18:F19"/>
    <mergeCell ref="U14:U15"/>
    <mergeCell ref="D16:D17"/>
    <mergeCell ref="E16:E17"/>
    <mergeCell ref="F16:F17"/>
    <mergeCell ref="U16:U17"/>
    <mergeCell ref="D14:D15"/>
    <mergeCell ref="E14:E15"/>
    <mergeCell ref="F14:F15"/>
    <mergeCell ref="D12:D13"/>
    <mergeCell ref="E12:E13"/>
    <mergeCell ref="F12:F13"/>
    <mergeCell ref="U12:U13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P10:P11"/>
    <mergeCell ref="D7:U7"/>
    <mergeCell ref="C10:C11"/>
    <mergeCell ref="D10:D11"/>
    <mergeCell ref="E10:E11"/>
    <mergeCell ref="F10:F11"/>
    <mergeCell ref="G10:G11"/>
    <mergeCell ref="H10:H11"/>
    <mergeCell ref="I10:I11"/>
    <mergeCell ref="J10:J11"/>
    <mergeCell ref="U10:U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2" fitToHeight="21" orientation="landscape" r:id="rId1"/>
  <ignoredErrors>
    <ignoredError sqref="I35:M35 I33:N33 T13:T39 Q35:S35 Q33:S33" formula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opLeftCell="F8" zoomScaleNormal="100" zoomScaleSheetLayoutView="70" zoomScalePageLayoutView="80" workbookViewId="0">
      <selection activeCell="O12" sqref="O12:O19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21.5703125" customWidth="1"/>
    <col min="8" max="8" width="22.140625" customWidth="1"/>
    <col min="9" max="9" width="23.85546875" customWidth="1"/>
    <col min="10" max="10" width="20.42578125" customWidth="1"/>
    <col min="11" max="11" width="11.7109375" hidden="1" customWidth="1"/>
    <col min="12" max="12" width="12.57031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165</v>
      </c>
      <c r="E8" s="878" t="s">
        <v>128</v>
      </c>
      <c r="F8" s="878"/>
      <c r="G8" s="14"/>
      <c r="H8" s="9"/>
    </row>
    <row r="9" spans="1:13" ht="18.75" thickBot="1" x14ac:dyDescent="0.3">
      <c r="D9" s="10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89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3" ht="83.25" customHeight="1" thickTop="1" x14ac:dyDescent="0.25">
      <c r="A12" s="290" t="s">
        <v>326</v>
      </c>
      <c r="B12" s="291" t="s">
        <v>78</v>
      </c>
      <c r="C12" s="8"/>
      <c r="D12" s="254" t="s">
        <v>327</v>
      </c>
      <c r="E12" s="300" t="s">
        <v>171</v>
      </c>
      <c r="F12" s="301">
        <f>NC_Calendario!F13</f>
        <v>26125929.599999998</v>
      </c>
      <c r="G12" s="166">
        <f>F12/12</f>
        <v>2177160.7999999998</v>
      </c>
      <c r="H12" s="67">
        <f ca="1">NC_Calendario!T13</f>
        <v>21771608.000000004</v>
      </c>
      <c r="I12" s="67">
        <f>NC_Calendario!T14</f>
        <v>17417286.400000002</v>
      </c>
      <c r="J12" s="67">
        <f t="shared" ref="J12:J20" ca="1" si="0">H12-I12</f>
        <v>4354321.6000000015</v>
      </c>
      <c r="K12" s="67">
        <f t="shared" ref="K12:K18" ca="1" si="1">+J12/H12*100</f>
        <v>20.000000000000004</v>
      </c>
      <c r="L12" s="67">
        <f t="shared" ref="L12:L18" ca="1" si="2">+I12/H12*100</f>
        <v>80</v>
      </c>
      <c r="M12" s="242" t="s">
        <v>778</v>
      </c>
    </row>
    <row r="13" spans="1:13" ht="102" customHeight="1" x14ac:dyDescent="0.25">
      <c r="A13" s="294" t="s">
        <v>326</v>
      </c>
      <c r="B13" s="42" t="s">
        <v>78</v>
      </c>
      <c r="C13" s="21"/>
      <c r="D13" s="254" t="s">
        <v>337</v>
      </c>
      <c r="E13" s="300" t="s">
        <v>171</v>
      </c>
      <c r="F13" s="301">
        <f>NC_Calendario!F15</f>
        <v>12026879.999999998</v>
      </c>
      <c r="G13" s="166">
        <f>F13/12</f>
        <v>1002239.9999999999</v>
      </c>
      <c r="H13" s="67">
        <f ca="1">NC_Calendario!T15</f>
        <v>10022399.999999998</v>
      </c>
      <c r="I13" s="67">
        <f>NC_Calendario!T16</f>
        <v>8017919.9999999991</v>
      </c>
      <c r="J13" s="67">
        <f t="shared" ca="1" si="0"/>
        <v>2004479.9999999991</v>
      </c>
      <c r="K13" s="67">
        <f t="shared" ca="1" si="1"/>
        <v>19.999999999999996</v>
      </c>
      <c r="L13" s="67">
        <f t="shared" ca="1" si="2"/>
        <v>80</v>
      </c>
      <c r="M13" s="242" t="s">
        <v>778</v>
      </c>
    </row>
    <row r="14" spans="1:13" ht="78" customHeight="1" x14ac:dyDescent="0.25">
      <c r="A14" s="294" t="s">
        <v>326</v>
      </c>
      <c r="B14" s="42" t="s">
        <v>78</v>
      </c>
      <c r="C14" s="21"/>
      <c r="D14" s="254" t="s">
        <v>330</v>
      </c>
      <c r="E14" s="300" t="s">
        <v>171</v>
      </c>
      <c r="F14" s="301">
        <f>NC_Calendario!F17</f>
        <v>7811493.3599999994</v>
      </c>
      <c r="G14" s="166">
        <v>650957.78</v>
      </c>
      <c r="H14" s="67">
        <f ca="1">NC_Calendario!T17</f>
        <v>6509577.7999999998</v>
      </c>
      <c r="I14" s="67">
        <f>NC_Calendario!T18</f>
        <v>5207654.8599999994</v>
      </c>
      <c r="J14" s="67">
        <f t="shared" ca="1" si="0"/>
        <v>1301922.9400000004</v>
      </c>
      <c r="K14" s="67">
        <f t="shared" ca="1" si="1"/>
        <v>20.000113371407906</v>
      </c>
      <c r="L14" s="67">
        <f t="shared" ca="1" si="2"/>
        <v>79.999886628592094</v>
      </c>
      <c r="M14" s="242" t="s">
        <v>778</v>
      </c>
    </row>
    <row r="15" spans="1:13" ht="105.75" customHeight="1" x14ac:dyDescent="0.25">
      <c r="A15" s="294" t="s">
        <v>326</v>
      </c>
      <c r="B15" s="122" t="s">
        <v>78</v>
      </c>
      <c r="C15" s="21"/>
      <c r="D15" s="254" t="s">
        <v>331</v>
      </c>
      <c r="E15" s="300" t="s">
        <v>338</v>
      </c>
      <c r="F15" s="301">
        <f>NC_Calendario!F19</f>
        <v>19682880</v>
      </c>
      <c r="G15" s="166">
        <v>1640240</v>
      </c>
      <c r="H15" s="67">
        <f ca="1">NC_Calendario!T19</f>
        <v>16402400</v>
      </c>
      <c r="I15" s="67">
        <f>NC_Calendario!T20</f>
        <v>14399995.007999999</v>
      </c>
      <c r="J15" s="67">
        <f t="shared" ca="1" si="0"/>
        <v>2002404.9920000006</v>
      </c>
      <c r="K15" s="67">
        <f t="shared" ca="1" si="1"/>
        <v>12.208000000000004</v>
      </c>
      <c r="L15" s="67">
        <f t="shared" ca="1" si="2"/>
        <v>87.791999999999987</v>
      </c>
      <c r="M15" s="242" t="s">
        <v>778</v>
      </c>
    </row>
    <row r="16" spans="1:13" ht="105.75" customHeight="1" thickBot="1" x14ac:dyDescent="0.3">
      <c r="A16" s="294" t="s">
        <v>326</v>
      </c>
      <c r="B16" s="295" t="s">
        <v>78</v>
      </c>
      <c r="C16" s="296"/>
      <c r="D16" s="254" t="s">
        <v>333</v>
      </c>
      <c r="E16" s="300" t="s">
        <v>171</v>
      </c>
      <c r="F16" s="301">
        <f>NC_Calendario!F21</f>
        <v>28155510.441599999</v>
      </c>
      <c r="G16" s="185">
        <f>+[36]NC!$G$20</f>
        <v>2346292.5367999999</v>
      </c>
      <c r="H16" s="67">
        <f ca="1">NC_Calendario!T21</f>
        <v>23462925.368000004</v>
      </c>
      <c r="I16" s="67">
        <f>NC_Calendario!T22</f>
        <v>18770339.780800004</v>
      </c>
      <c r="J16" s="67">
        <f t="shared" ca="1" si="0"/>
        <v>4692585.5872000009</v>
      </c>
      <c r="K16" s="67">
        <f t="shared" ca="1" si="1"/>
        <v>20.000002188985356</v>
      </c>
      <c r="L16" s="67">
        <f t="shared" ca="1" si="2"/>
        <v>79.999997811014651</v>
      </c>
      <c r="M16" s="242" t="s">
        <v>778</v>
      </c>
    </row>
    <row r="17" spans="1:13" ht="105.75" customHeight="1" thickTop="1" thickBot="1" x14ac:dyDescent="0.3">
      <c r="A17" s="294" t="s">
        <v>326</v>
      </c>
      <c r="B17" s="295" t="s">
        <v>78</v>
      </c>
      <c r="C17" s="296"/>
      <c r="D17" s="206" t="s">
        <v>334</v>
      </c>
      <c r="E17" s="302" t="s">
        <v>171</v>
      </c>
      <c r="F17" s="303">
        <f>NC_Calendario!F23</f>
        <v>18029493.023999996</v>
      </c>
      <c r="G17" s="303">
        <f>1295222.2*1.16</f>
        <v>1502457.7519999999</v>
      </c>
      <c r="H17" s="68">
        <f ca="1">NC_Calendario!T23</f>
        <v>15024577.520000001</v>
      </c>
      <c r="I17" s="68">
        <f>NC_Calendario!T24</f>
        <v>12019660.146</v>
      </c>
      <c r="J17" s="68">
        <f t="shared" ca="1" si="0"/>
        <v>3004917.3740000017</v>
      </c>
      <c r="K17" s="68">
        <f t="shared" ca="1" si="1"/>
        <v>20.000012446273441</v>
      </c>
      <c r="L17" s="68">
        <f t="shared" ca="1" si="2"/>
        <v>79.999987553726555</v>
      </c>
      <c r="M17" s="242" t="s">
        <v>778</v>
      </c>
    </row>
    <row r="18" spans="1:13" ht="88.5" customHeight="1" thickTop="1" thickBot="1" x14ac:dyDescent="0.3">
      <c r="A18" s="294" t="s">
        <v>326</v>
      </c>
      <c r="B18" s="295" t="s">
        <v>78</v>
      </c>
      <c r="C18" s="296"/>
      <c r="D18" s="608" t="s">
        <v>335</v>
      </c>
      <c r="E18" s="810" t="s">
        <v>171</v>
      </c>
      <c r="F18" s="811">
        <f>NC_Calendario!F25</f>
        <v>21418309</v>
      </c>
      <c r="G18" s="160">
        <f>F18/12</f>
        <v>1784859.0833333333</v>
      </c>
      <c r="H18" s="250">
        <f ca="1">NC_Calendario!T25</f>
        <v>16485894.479999997</v>
      </c>
      <c r="I18" s="250">
        <f>NC_Calendario!T26</f>
        <v>9070489.9199999999</v>
      </c>
      <c r="J18" s="250">
        <f t="shared" ca="1" si="0"/>
        <v>7415404.5599999968</v>
      </c>
      <c r="K18" s="250">
        <f t="shared" ca="1" si="1"/>
        <v>44.980298575828307</v>
      </c>
      <c r="L18" s="250">
        <f t="shared" ca="1" si="2"/>
        <v>55.019701424171686</v>
      </c>
      <c r="M18" s="242" t="s">
        <v>318</v>
      </c>
    </row>
    <row r="19" spans="1:13" ht="88.5" customHeight="1" thickTop="1" x14ac:dyDescent="0.25">
      <c r="A19" s="807"/>
      <c r="B19" s="807"/>
      <c r="C19" s="297"/>
      <c r="D19" s="874" t="s">
        <v>957</v>
      </c>
      <c r="E19" s="874"/>
      <c r="F19" s="301">
        <f>NC_Calendario!F32</f>
        <v>27451033.424400032</v>
      </c>
      <c r="G19" s="166">
        <v>0</v>
      </c>
      <c r="H19" s="67">
        <f ca="1">NC_Calendario!T32</f>
        <v>14882892.442000017</v>
      </c>
      <c r="I19" s="67">
        <v>0</v>
      </c>
      <c r="J19" s="67">
        <f t="shared" ca="1" si="0"/>
        <v>14882892.442000017</v>
      </c>
      <c r="K19" s="67"/>
      <c r="L19" s="67"/>
      <c r="M19" s="242" t="s">
        <v>260</v>
      </c>
    </row>
    <row r="20" spans="1:13" ht="15.75" thickBot="1" x14ac:dyDescent="0.3">
      <c r="A20" s="4"/>
      <c r="B20" s="40">
        <v>7</v>
      </c>
      <c r="C20" s="24">
        <f>COUNT(#REF!)</f>
        <v>0</v>
      </c>
      <c r="D20" s="7"/>
      <c r="E20" s="6"/>
      <c r="F20" s="32">
        <f>SUM(F12:F19)</f>
        <v>160701528.85000002</v>
      </c>
      <c r="G20" s="32">
        <f>SUM(G12:G19)</f>
        <v>11104207.952133333</v>
      </c>
      <c r="H20" s="32">
        <f ca="1">SUM(H12:H19)</f>
        <v>124562275.61</v>
      </c>
      <c r="I20" s="304">
        <f>SUM(I12:I18)</f>
        <v>84903346.114800006</v>
      </c>
      <c r="J20" s="287">
        <f t="shared" ca="1" si="0"/>
        <v>39658929.495199993</v>
      </c>
      <c r="K20" s="150">
        <f ca="1">+J20/H20*100</f>
        <v>31.83863597624908</v>
      </c>
      <c r="L20" s="151">
        <f ca="1">+I20/H20*100</f>
        <v>68.16136402375092</v>
      </c>
      <c r="M20" s="599"/>
    </row>
    <row r="21" spans="1:13" ht="31.5" customHeight="1" x14ac:dyDescent="0.25">
      <c r="F21" s="3"/>
      <c r="G21" s="3"/>
      <c r="H21" s="2"/>
      <c r="I21" s="305"/>
      <c r="J21" s="2"/>
      <c r="K21" s="2"/>
      <c r="L21" s="2"/>
      <c r="M21" s="70"/>
    </row>
    <row r="22" spans="1:13" ht="31.5" customHeight="1" x14ac:dyDescent="0.25">
      <c r="H22" s="118"/>
      <c r="I22" s="118"/>
      <c r="J22" s="9"/>
    </row>
    <row r="23" spans="1:13" x14ac:dyDescent="0.25">
      <c r="H23" s="118"/>
    </row>
    <row r="24" spans="1:13" x14ac:dyDescent="0.25">
      <c r="H24" s="118"/>
    </row>
    <row r="25" spans="1:13" x14ac:dyDescent="0.25">
      <c r="D25" s="306" t="s">
        <v>335</v>
      </c>
      <c r="H25" s="118"/>
    </row>
    <row r="26" spans="1:13" x14ac:dyDescent="0.25">
      <c r="H26" s="118"/>
    </row>
    <row r="27" spans="1:13" x14ac:dyDescent="0.25">
      <c r="H27" s="118"/>
    </row>
    <row r="28" spans="1:13" x14ac:dyDescent="0.25">
      <c r="H28" s="118"/>
    </row>
    <row r="29" spans="1:13" x14ac:dyDescent="0.25">
      <c r="H29" s="118"/>
    </row>
    <row r="30" spans="1:13" x14ac:dyDescent="0.25">
      <c r="H30" s="118"/>
    </row>
    <row r="31" spans="1:13" x14ac:dyDescent="0.25">
      <c r="H31" s="118"/>
      <c r="I31" s="9"/>
    </row>
  </sheetData>
  <mergeCells count="13">
    <mergeCell ref="D19:E19"/>
    <mergeCell ref="L10:L11"/>
    <mergeCell ref="M10:M11"/>
    <mergeCell ref="D7:M7"/>
    <mergeCell ref="E8:F8"/>
    <mergeCell ref="G10:G11"/>
    <mergeCell ref="H10:I10"/>
    <mergeCell ref="J10:K10"/>
    <mergeCell ref="A10:B10"/>
    <mergeCell ref="C10:C11"/>
    <mergeCell ref="D10:D11"/>
    <mergeCell ref="E10:E11"/>
    <mergeCell ref="F10:F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4" fitToHeight="21" orientation="landscape" r:id="rId1"/>
  <rowBreaks count="1" manualBreakCount="1">
    <brk id="13" min="2" max="1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U42"/>
  <sheetViews>
    <sheetView topLeftCell="A6" zoomScale="80" zoomScaleNormal="80" zoomScaleSheetLayoutView="85" zoomScalePageLayoutView="80" workbookViewId="0">
      <pane xSplit="4" ySplit="7" topLeftCell="N25" activePane="bottomRight" state="frozen"/>
      <selection activeCell="A6" sqref="A6"/>
      <selection pane="topRight" activeCell="E6" sqref="E6"/>
      <selection pane="bottomLeft" activeCell="A12" sqref="A12"/>
      <selection pane="bottomRight" activeCell="T28" sqref="T28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42" style="1" customWidth="1"/>
    <col min="6" max="11" width="21.5703125" customWidth="1"/>
    <col min="12" max="12" width="21.7109375" customWidth="1"/>
    <col min="13" max="19" width="21.5703125" customWidth="1"/>
    <col min="20" max="20" width="22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D1" s="10" t="s">
        <v>25</v>
      </c>
      <c r="U1" s="11"/>
    </row>
    <row r="2" spans="1:21" ht="18" x14ac:dyDescent="0.25">
      <c r="D2" s="10" t="s">
        <v>24</v>
      </c>
    </row>
    <row r="3" spans="1:21" ht="18" x14ac:dyDescent="0.25">
      <c r="D3" s="10" t="s">
        <v>23</v>
      </c>
    </row>
    <row r="4" spans="1:21" ht="18" x14ac:dyDescent="0.25">
      <c r="D4" s="10" t="s">
        <v>22</v>
      </c>
    </row>
    <row r="5" spans="1:21" ht="18" x14ac:dyDescent="0.25">
      <c r="D5" s="10" t="s">
        <v>21</v>
      </c>
    </row>
    <row r="6" spans="1:21" ht="20.25" x14ac:dyDescent="0.3">
      <c r="D6" s="14" t="s">
        <v>20</v>
      </c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165</v>
      </c>
      <c r="E8" s="878" t="s">
        <v>128</v>
      </c>
      <c r="F8" s="878"/>
      <c r="G8" s="14"/>
      <c r="H8" s="14"/>
      <c r="I8" s="14"/>
      <c r="J8" s="14"/>
      <c r="K8" s="14"/>
      <c r="L8" s="14"/>
      <c r="M8" s="14"/>
      <c r="N8" s="14"/>
      <c r="O8" s="288"/>
      <c r="P8" s="289"/>
      <c r="Q8" s="14"/>
      <c r="R8" s="14"/>
      <c r="S8" s="14"/>
      <c r="T8" s="192"/>
    </row>
    <row r="9" spans="1:21" ht="18.75" thickBot="1" x14ac:dyDescent="0.3">
      <c r="D9" s="39"/>
      <c r="E9" s="14"/>
      <c r="F9" s="14"/>
      <c r="G9" s="14"/>
      <c r="H9" s="14"/>
      <c r="I9" s="14"/>
      <c r="J9" s="14"/>
      <c r="K9" s="14"/>
      <c r="L9" s="14"/>
      <c r="M9" s="14"/>
      <c r="N9" s="14"/>
      <c r="O9" s="288"/>
      <c r="P9" s="289"/>
      <c r="Q9" s="14"/>
      <c r="R9" s="14"/>
      <c r="S9" s="14"/>
      <c r="T9" s="192"/>
    </row>
    <row r="10" spans="1:21" ht="18.75" hidden="1" thickBot="1" x14ac:dyDescent="0.3">
      <c r="D10" s="10"/>
      <c r="H10" t="s">
        <v>104</v>
      </c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 s="192"/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89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43.35" customHeight="1" thickTop="1" x14ac:dyDescent="0.25">
      <c r="A13" s="291" t="s">
        <v>78</v>
      </c>
      <c r="B13" s="290">
        <v>99001</v>
      </c>
      <c r="C13" s="8"/>
      <c r="D13" s="874" t="s">
        <v>327</v>
      </c>
      <c r="E13" s="917" t="s">
        <v>328</v>
      </c>
      <c r="F13" s="918">
        <f>2177160.8*12</f>
        <v>26125929.599999998</v>
      </c>
      <c r="G13" s="166">
        <f>+F13/12</f>
        <v>2177160.7999999998</v>
      </c>
      <c r="H13" s="166">
        <f>G$13</f>
        <v>2177160.7999999998</v>
      </c>
      <c r="I13" s="166">
        <f t="shared" ref="I13:S13" si="0">H$13</f>
        <v>2177160.7999999998</v>
      </c>
      <c r="J13" s="166">
        <f t="shared" si="0"/>
        <v>2177160.7999999998</v>
      </c>
      <c r="K13" s="166">
        <f t="shared" si="0"/>
        <v>2177160.7999999998</v>
      </c>
      <c r="L13" s="166">
        <f t="shared" si="0"/>
        <v>2177160.7999999998</v>
      </c>
      <c r="M13" s="166">
        <f t="shared" si="0"/>
        <v>2177160.7999999998</v>
      </c>
      <c r="N13" s="166">
        <f t="shared" si="0"/>
        <v>2177160.7999999998</v>
      </c>
      <c r="O13" s="166">
        <f t="shared" si="0"/>
        <v>2177160.7999999998</v>
      </c>
      <c r="P13" s="166">
        <f t="shared" si="0"/>
        <v>2177160.7999999998</v>
      </c>
      <c r="Q13" s="166">
        <f t="shared" si="0"/>
        <v>2177160.7999999998</v>
      </c>
      <c r="R13" s="166">
        <f t="shared" si="0"/>
        <v>2177160.7999999998</v>
      </c>
      <c r="S13" s="166">
        <f t="shared" si="0"/>
        <v>2177160.7999999998</v>
      </c>
      <c r="T13" s="67">
        <f ca="1">SUM($H13:(OFFSET($H13,0,AVANCE060826!$T$2)))</f>
        <v>21771608.000000004</v>
      </c>
      <c r="U13" s="903"/>
    </row>
    <row r="14" spans="1:21" ht="43.35" customHeight="1" x14ac:dyDescent="0.25">
      <c r="A14" s="293"/>
      <c r="B14" s="292"/>
      <c r="C14" s="8"/>
      <c r="D14" s="874"/>
      <c r="E14" s="917"/>
      <c r="F14" s="918"/>
      <c r="G14" s="166"/>
      <c r="H14" s="166"/>
      <c r="I14" s="166">
        <v>2177160.7999999998</v>
      </c>
      <c r="J14" s="166">
        <v>2177160.7999999998</v>
      </c>
      <c r="K14" s="166">
        <v>2177160.7999999998</v>
      </c>
      <c r="L14" s="166">
        <v>2177160.7999999998</v>
      </c>
      <c r="M14" s="166">
        <v>2177160.7999999998</v>
      </c>
      <c r="N14" s="166">
        <v>2177160.7999999998</v>
      </c>
      <c r="O14" s="166">
        <v>2177160.7999999998</v>
      </c>
      <c r="P14" s="166">
        <v>2177160.7999999998</v>
      </c>
      <c r="Q14" s="166"/>
      <c r="R14" s="166"/>
      <c r="S14" s="166"/>
      <c r="T14" s="67">
        <f t="shared" ref="T14:T22" si="1">SUM(H14:S14)</f>
        <v>17417286.400000002</v>
      </c>
      <c r="U14" s="903"/>
    </row>
    <row r="15" spans="1:21" ht="43.35" customHeight="1" x14ac:dyDescent="0.25">
      <c r="A15" s="42" t="s">
        <v>78</v>
      </c>
      <c r="B15" s="294">
        <v>99001</v>
      </c>
      <c r="C15" s="21"/>
      <c r="D15" s="874" t="s">
        <v>329</v>
      </c>
      <c r="E15" s="917" t="s">
        <v>328</v>
      </c>
      <c r="F15" s="918">
        <f>+H15*12</f>
        <v>12026879.999999998</v>
      </c>
      <c r="G15" s="166">
        <f>864000*1.16</f>
        <v>1002239.9999999999</v>
      </c>
      <c r="H15" s="166">
        <f>$G15</f>
        <v>1002239.9999999999</v>
      </c>
      <c r="I15" s="166">
        <f t="shared" ref="I15:S15" si="2">$G15</f>
        <v>1002239.9999999999</v>
      </c>
      <c r="J15" s="166">
        <f t="shared" si="2"/>
        <v>1002239.9999999999</v>
      </c>
      <c r="K15" s="166">
        <f t="shared" si="2"/>
        <v>1002239.9999999999</v>
      </c>
      <c r="L15" s="166">
        <f t="shared" si="2"/>
        <v>1002239.9999999999</v>
      </c>
      <c r="M15" s="166">
        <f t="shared" si="2"/>
        <v>1002239.9999999999</v>
      </c>
      <c r="N15" s="166">
        <f t="shared" si="2"/>
        <v>1002239.9999999999</v>
      </c>
      <c r="O15" s="166">
        <f t="shared" si="2"/>
        <v>1002239.9999999999</v>
      </c>
      <c r="P15" s="166">
        <f t="shared" si="2"/>
        <v>1002239.9999999999</v>
      </c>
      <c r="Q15" s="166">
        <f t="shared" si="2"/>
        <v>1002239.9999999999</v>
      </c>
      <c r="R15" s="166">
        <f t="shared" si="2"/>
        <v>1002239.9999999999</v>
      </c>
      <c r="S15" s="166">
        <f t="shared" si="2"/>
        <v>1002239.9999999999</v>
      </c>
      <c r="T15" s="67">
        <f ca="1">SUM($H15:(OFFSET($H15,0,AVANCE060826!$T$2)))</f>
        <v>10022399.999999998</v>
      </c>
      <c r="U15" s="903"/>
    </row>
    <row r="16" spans="1:21" ht="43.35" customHeight="1" x14ac:dyDescent="0.25">
      <c r="A16" s="42"/>
      <c r="B16" s="294"/>
      <c r="C16" s="21"/>
      <c r="D16" s="874"/>
      <c r="E16" s="917"/>
      <c r="F16" s="918"/>
      <c r="G16" s="166"/>
      <c r="H16" s="166"/>
      <c r="I16" s="166">
        <f t="shared" ref="I16:P16" si="3">864000*1.16</f>
        <v>1002239.9999999999</v>
      </c>
      <c r="J16" s="166">
        <f t="shared" si="3"/>
        <v>1002239.9999999999</v>
      </c>
      <c r="K16" s="166">
        <f t="shared" si="3"/>
        <v>1002239.9999999999</v>
      </c>
      <c r="L16" s="166">
        <f t="shared" si="3"/>
        <v>1002239.9999999999</v>
      </c>
      <c r="M16" s="166">
        <f t="shared" si="3"/>
        <v>1002239.9999999999</v>
      </c>
      <c r="N16" s="166">
        <f t="shared" si="3"/>
        <v>1002239.9999999999</v>
      </c>
      <c r="O16" s="166">
        <f t="shared" si="3"/>
        <v>1002239.9999999999</v>
      </c>
      <c r="P16" s="166">
        <f t="shared" si="3"/>
        <v>1002239.9999999999</v>
      </c>
      <c r="Q16" s="166"/>
      <c r="R16" s="166"/>
      <c r="S16" s="166"/>
      <c r="T16" s="67">
        <f t="shared" si="1"/>
        <v>8017919.9999999991</v>
      </c>
      <c r="U16" s="903"/>
    </row>
    <row r="17" spans="1:21" ht="43.35" customHeight="1" x14ac:dyDescent="0.25">
      <c r="A17" s="42" t="s">
        <v>78</v>
      </c>
      <c r="B17" s="294">
        <v>99001</v>
      </c>
      <c r="C17" s="21"/>
      <c r="D17" s="874" t="s">
        <v>330</v>
      </c>
      <c r="E17" s="917" t="s">
        <v>328</v>
      </c>
      <c r="F17" s="918">
        <f>+H17*12</f>
        <v>7811493.3599999994</v>
      </c>
      <c r="G17" s="166">
        <f>561170.5*1.16</f>
        <v>650957.77999999991</v>
      </c>
      <c r="H17" s="166">
        <f>$G17</f>
        <v>650957.77999999991</v>
      </c>
      <c r="I17" s="166">
        <f t="shared" ref="I17:S17" si="4">$G17</f>
        <v>650957.77999999991</v>
      </c>
      <c r="J17" s="166">
        <f t="shared" si="4"/>
        <v>650957.77999999991</v>
      </c>
      <c r="K17" s="166">
        <f t="shared" si="4"/>
        <v>650957.77999999991</v>
      </c>
      <c r="L17" s="166">
        <f t="shared" si="4"/>
        <v>650957.77999999991</v>
      </c>
      <c r="M17" s="166">
        <f t="shared" si="4"/>
        <v>650957.77999999991</v>
      </c>
      <c r="N17" s="166">
        <f t="shared" si="4"/>
        <v>650957.77999999991</v>
      </c>
      <c r="O17" s="166">
        <f t="shared" si="4"/>
        <v>650957.77999999991</v>
      </c>
      <c r="P17" s="166">
        <f t="shared" si="4"/>
        <v>650957.77999999991</v>
      </c>
      <c r="Q17" s="166">
        <f t="shared" si="4"/>
        <v>650957.77999999991</v>
      </c>
      <c r="R17" s="166">
        <f t="shared" si="4"/>
        <v>650957.77999999991</v>
      </c>
      <c r="S17" s="166">
        <f t="shared" si="4"/>
        <v>650957.77999999991</v>
      </c>
      <c r="T17" s="67">
        <f ca="1">SUM($H17:(OFFSET($H17,0,AVANCE060826!$T$2)))</f>
        <v>6509577.7999999998</v>
      </c>
      <c r="U17" s="903"/>
    </row>
    <row r="18" spans="1:21" ht="43.35" customHeight="1" x14ac:dyDescent="0.25">
      <c r="A18" s="42"/>
      <c r="B18" s="294"/>
      <c r="C18" s="21"/>
      <c r="D18" s="874"/>
      <c r="E18" s="917"/>
      <c r="F18" s="918"/>
      <c r="G18" s="166"/>
      <c r="H18" s="166"/>
      <c r="I18" s="166">
        <v>650957.77999999991</v>
      </c>
      <c r="J18" s="166">
        <v>650957.77999999991</v>
      </c>
      <c r="K18" s="166">
        <v>650957.77999999991</v>
      </c>
      <c r="L18" s="166">
        <v>650957.77999999991</v>
      </c>
      <c r="M18" s="166">
        <v>650957.77999999991</v>
      </c>
      <c r="N18" s="166">
        <f>650955.32</f>
        <v>650955.31999999995</v>
      </c>
      <c r="O18" s="166">
        <v>650955.31999999995</v>
      </c>
      <c r="P18" s="166">
        <v>650955.31999999995</v>
      </c>
      <c r="Q18" s="166"/>
      <c r="R18" s="166"/>
      <c r="S18" s="166"/>
      <c r="T18" s="67">
        <f t="shared" si="1"/>
        <v>5207654.8599999994</v>
      </c>
      <c r="U18" s="903"/>
    </row>
    <row r="19" spans="1:21" ht="43.35" customHeight="1" x14ac:dyDescent="0.25">
      <c r="A19" s="122" t="s">
        <v>78</v>
      </c>
      <c r="B19" s="294">
        <v>99001</v>
      </c>
      <c r="C19" s="21"/>
      <c r="D19" s="874" t="s">
        <v>331</v>
      </c>
      <c r="E19" s="917" t="s">
        <v>332</v>
      </c>
      <c r="F19" s="918">
        <f>+G19*12</f>
        <v>19682880</v>
      </c>
      <c r="G19" s="166">
        <f>1414000*1.16</f>
        <v>1640240</v>
      </c>
      <c r="H19" s="166">
        <f>$G19</f>
        <v>1640240</v>
      </c>
      <c r="I19" s="166">
        <f t="shared" ref="I19:S19" si="5">$G19</f>
        <v>1640240</v>
      </c>
      <c r="J19" s="166">
        <f t="shared" si="5"/>
        <v>1640240</v>
      </c>
      <c r="K19" s="166">
        <f t="shared" si="5"/>
        <v>1640240</v>
      </c>
      <c r="L19" s="166">
        <f t="shared" si="5"/>
        <v>1640240</v>
      </c>
      <c r="M19" s="166">
        <f t="shared" si="5"/>
        <v>1640240</v>
      </c>
      <c r="N19" s="166">
        <f t="shared" si="5"/>
        <v>1640240</v>
      </c>
      <c r="O19" s="166">
        <f t="shared" si="5"/>
        <v>1640240</v>
      </c>
      <c r="P19" s="166">
        <f t="shared" si="5"/>
        <v>1640240</v>
      </c>
      <c r="Q19" s="166">
        <f t="shared" si="5"/>
        <v>1640240</v>
      </c>
      <c r="R19" s="166">
        <f t="shared" si="5"/>
        <v>1640240</v>
      </c>
      <c r="S19" s="166">
        <f t="shared" si="5"/>
        <v>1640240</v>
      </c>
      <c r="T19" s="67">
        <f ca="1">SUM($H19:(OFFSET($H19,0,AVANCE060826!$T$2)))</f>
        <v>16402400</v>
      </c>
      <c r="U19" s="903"/>
    </row>
    <row r="20" spans="1:21" ht="43.35" customHeight="1" x14ac:dyDescent="0.25">
      <c r="A20" s="122"/>
      <c r="B20" s="294"/>
      <c r="C20" s="43"/>
      <c r="D20" s="874"/>
      <c r="E20" s="917"/>
      <c r="F20" s="918"/>
      <c r="G20" s="166"/>
      <c r="H20" s="166"/>
      <c r="I20" s="166">
        <f>1551723.6*1.16</f>
        <v>1799999.3759999999</v>
      </c>
      <c r="J20" s="166">
        <f>1551723.6*1.16</f>
        <v>1799999.3759999999</v>
      </c>
      <c r="K20" s="166">
        <f>1551723.6*1.16</f>
        <v>1799999.3759999999</v>
      </c>
      <c r="L20" s="166">
        <f>1551723.6*1.16</f>
        <v>1799999.3759999999</v>
      </c>
      <c r="M20" s="166">
        <f>1551723.6*1.16</f>
        <v>1799999.3759999999</v>
      </c>
      <c r="N20" s="166">
        <v>1799999.3759999999</v>
      </c>
      <c r="O20" s="166">
        <v>1799999.3759999999</v>
      </c>
      <c r="P20" s="166">
        <v>1799999.3759999999</v>
      </c>
      <c r="Q20" s="166"/>
      <c r="R20" s="166"/>
      <c r="S20" s="166"/>
      <c r="T20" s="67">
        <f t="shared" si="1"/>
        <v>14399995.007999999</v>
      </c>
      <c r="U20" s="903"/>
    </row>
    <row r="21" spans="1:21" ht="43.35" customHeight="1" x14ac:dyDescent="0.25">
      <c r="A21" s="122" t="s">
        <v>78</v>
      </c>
      <c r="B21" s="294">
        <v>99001</v>
      </c>
      <c r="C21" s="21"/>
      <c r="D21" s="874" t="s">
        <v>333</v>
      </c>
      <c r="E21" s="917" t="s">
        <v>328</v>
      </c>
      <c r="F21" s="918">
        <f>+G21*12</f>
        <v>28155510.441599999</v>
      </c>
      <c r="G21" s="166">
        <f>2022665.98*1.16</f>
        <v>2346292.5367999999</v>
      </c>
      <c r="H21" s="166">
        <f>$G21</f>
        <v>2346292.5367999999</v>
      </c>
      <c r="I21" s="166">
        <f t="shared" ref="I21:S21" si="6">$G21</f>
        <v>2346292.5367999999</v>
      </c>
      <c r="J21" s="166">
        <f t="shared" si="6"/>
        <v>2346292.5367999999</v>
      </c>
      <c r="K21" s="166">
        <f t="shared" si="6"/>
        <v>2346292.5367999999</v>
      </c>
      <c r="L21" s="166">
        <f t="shared" si="6"/>
        <v>2346292.5367999999</v>
      </c>
      <c r="M21" s="166">
        <f t="shared" si="6"/>
        <v>2346292.5367999999</v>
      </c>
      <c r="N21" s="166">
        <f t="shared" si="6"/>
        <v>2346292.5367999999</v>
      </c>
      <c r="O21" s="166">
        <f t="shared" si="6"/>
        <v>2346292.5367999999</v>
      </c>
      <c r="P21" s="166">
        <f t="shared" si="6"/>
        <v>2346292.5367999999</v>
      </c>
      <c r="Q21" s="166">
        <f t="shared" si="6"/>
        <v>2346292.5367999999</v>
      </c>
      <c r="R21" s="166">
        <f t="shared" si="6"/>
        <v>2346292.5367999999</v>
      </c>
      <c r="S21" s="166">
        <f t="shared" si="6"/>
        <v>2346292.5367999999</v>
      </c>
      <c r="T21" s="67">
        <f ca="1">SUM($H21:(OFFSET($H21,0,AVANCE060826!$T$2)))</f>
        <v>23462925.368000004</v>
      </c>
      <c r="U21" s="235"/>
    </row>
    <row r="22" spans="1:21" ht="43.35" customHeight="1" x14ac:dyDescent="0.25">
      <c r="A22" s="122"/>
      <c r="B22" s="294"/>
      <c r="C22" s="43"/>
      <c r="D22" s="874"/>
      <c r="E22" s="917"/>
      <c r="F22" s="918"/>
      <c r="G22" s="166"/>
      <c r="H22" s="166"/>
      <c r="I22" s="166"/>
      <c r="J22" s="166">
        <f>2346292.28*2</f>
        <v>4692584.5599999996</v>
      </c>
      <c r="K22" s="166">
        <v>2346292.5367999999</v>
      </c>
      <c r="L22" s="166">
        <v>2346292.5367999999</v>
      </c>
      <c r="M22" s="166">
        <v>2346292.5367999999</v>
      </c>
      <c r="N22" s="166">
        <v>2346292.5367999999</v>
      </c>
      <c r="O22" s="166">
        <v>2346292.5367999999</v>
      </c>
      <c r="P22" s="166">
        <v>2346292.5367999999</v>
      </c>
      <c r="Q22" s="166"/>
      <c r="R22" s="166"/>
      <c r="S22" s="166"/>
      <c r="T22" s="67">
        <f t="shared" si="1"/>
        <v>18770339.780800004</v>
      </c>
      <c r="U22" s="235"/>
    </row>
    <row r="23" spans="1:21" ht="43.35" customHeight="1" thickBot="1" x14ac:dyDescent="0.3">
      <c r="A23" s="295" t="s">
        <v>78</v>
      </c>
      <c r="B23" s="294">
        <v>99001</v>
      </c>
      <c r="C23" s="296"/>
      <c r="D23" s="874" t="s">
        <v>334</v>
      </c>
      <c r="E23" s="917" t="s">
        <v>328</v>
      </c>
      <c r="F23" s="918">
        <f>+G23*12</f>
        <v>18029493.023999996</v>
      </c>
      <c r="G23" s="166">
        <f>1295222.2*1.16</f>
        <v>1502457.7519999999</v>
      </c>
      <c r="H23" s="166">
        <f>$G23</f>
        <v>1502457.7519999999</v>
      </c>
      <c r="I23" s="166">
        <f t="shared" ref="I23:S23" si="7">$G23</f>
        <v>1502457.7519999999</v>
      </c>
      <c r="J23" s="166">
        <f t="shared" si="7"/>
        <v>1502457.7519999999</v>
      </c>
      <c r="K23" s="166">
        <f t="shared" si="7"/>
        <v>1502457.7519999999</v>
      </c>
      <c r="L23" s="166">
        <f t="shared" si="7"/>
        <v>1502457.7519999999</v>
      </c>
      <c r="M23" s="166">
        <f t="shared" si="7"/>
        <v>1502457.7519999999</v>
      </c>
      <c r="N23" s="166">
        <f t="shared" si="7"/>
        <v>1502457.7519999999</v>
      </c>
      <c r="O23" s="166">
        <f t="shared" si="7"/>
        <v>1502457.7519999999</v>
      </c>
      <c r="P23" s="166">
        <f t="shared" si="7"/>
        <v>1502457.7519999999</v>
      </c>
      <c r="Q23" s="166">
        <f t="shared" si="7"/>
        <v>1502457.7519999999</v>
      </c>
      <c r="R23" s="166">
        <f t="shared" si="7"/>
        <v>1502457.7519999999</v>
      </c>
      <c r="S23" s="166">
        <f t="shared" si="7"/>
        <v>1502457.7519999999</v>
      </c>
      <c r="T23" s="67">
        <f ca="1">SUM($H23:(OFFSET($H23,0,AVANCE060826!$T$2)))</f>
        <v>15024577.520000001</v>
      </c>
      <c r="U23" s="235"/>
    </row>
    <row r="24" spans="1:21" ht="43.35" customHeight="1" thickTop="1" x14ac:dyDescent="0.25">
      <c r="A24" s="295" t="s">
        <v>78</v>
      </c>
      <c r="B24" s="294">
        <v>99001</v>
      </c>
      <c r="C24" s="297"/>
      <c r="D24" s="874"/>
      <c r="E24" s="917"/>
      <c r="F24" s="918"/>
      <c r="G24" s="166"/>
      <c r="H24" s="166"/>
      <c r="I24" s="166">
        <f>1295222.2*1.16-0.37</f>
        <v>1502457.3819999998</v>
      </c>
      <c r="J24" s="166">
        <f>1295222.2*1.16-0.38</f>
        <v>1502457.372</v>
      </c>
      <c r="K24" s="166">
        <f>1295222.2*1.16-0.38</f>
        <v>1502457.372</v>
      </c>
      <c r="L24" s="166">
        <f>1295222.2*1.16-0.38</f>
        <v>1502457.372</v>
      </c>
      <c r="M24" s="166">
        <f>1295222.2*1.16-0.36</f>
        <v>1502457.3919999998</v>
      </c>
      <c r="N24" s="166">
        <f>1295222.2*1.16</f>
        <v>1502457.7519999999</v>
      </c>
      <c r="O24" s="166">
        <v>1502457.7519999999</v>
      </c>
      <c r="P24" s="166">
        <v>1502457.7519999999</v>
      </c>
      <c r="Q24" s="166"/>
      <c r="R24" s="166"/>
      <c r="S24" s="166"/>
      <c r="T24" s="67">
        <f>SUM(H24:S24)</f>
        <v>12019660.146</v>
      </c>
      <c r="U24" s="235"/>
    </row>
    <row r="25" spans="1:21" ht="43.35" customHeight="1" thickBot="1" x14ac:dyDescent="0.3">
      <c r="A25" s="295">
        <v>70000</v>
      </c>
      <c r="B25" s="294" t="s">
        <v>79</v>
      </c>
      <c r="C25" s="296"/>
      <c r="D25" s="874" t="s">
        <v>335</v>
      </c>
      <c r="E25" s="917" t="s">
        <v>336</v>
      </c>
      <c r="F25" s="918">
        <v>21418309</v>
      </c>
      <c r="G25" s="166">
        <v>1648589.4479999999</v>
      </c>
      <c r="H25" s="166">
        <f>$G25</f>
        <v>1648589.4479999999</v>
      </c>
      <c r="I25" s="166">
        <f t="shared" ref="I25:S25" si="8">$G25</f>
        <v>1648589.4479999999</v>
      </c>
      <c r="J25" s="166">
        <f t="shared" si="8"/>
        <v>1648589.4479999999</v>
      </c>
      <c r="K25" s="166">
        <f t="shared" si="8"/>
        <v>1648589.4479999999</v>
      </c>
      <c r="L25" s="166">
        <f t="shared" si="8"/>
        <v>1648589.4479999999</v>
      </c>
      <c r="M25" s="166">
        <f t="shared" si="8"/>
        <v>1648589.4479999999</v>
      </c>
      <c r="N25" s="166">
        <f t="shared" si="8"/>
        <v>1648589.4479999999</v>
      </c>
      <c r="O25" s="166">
        <f t="shared" si="8"/>
        <v>1648589.4479999999</v>
      </c>
      <c r="P25" s="166">
        <f t="shared" si="8"/>
        <v>1648589.4479999999</v>
      </c>
      <c r="Q25" s="166">
        <f t="shared" si="8"/>
        <v>1648589.4479999999</v>
      </c>
      <c r="R25" s="166">
        <f t="shared" si="8"/>
        <v>1648589.4479999999</v>
      </c>
      <c r="S25" s="166">
        <f t="shared" si="8"/>
        <v>1648589.4479999999</v>
      </c>
      <c r="T25" s="67">
        <f ca="1">SUM($H25:(OFFSET($H25,0,AVANCE060826!$T$2)))</f>
        <v>16485894.479999997</v>
      </c>
      <c r="U25" s="903"/>
    </row>
    <row r="26" spans="1:21" ht="43.35" customHeight="1" thickTop="1" x14ac:dyDescent="0.25">
      <c r="A26" s="295">
        <v>70000</v>
      </c>
      <c r="B26" s="294" t="s">
        <v>79</v>
      </c>
      <c r="C26" s="297"/>
      <c r="D26" s="907"/>
      <c r="E26" s="921"/>
      <c r="F26" s="922"/>
      <c r="G26" s="160"/>
      <c r="H26" s="160"/>
      <c r="I26" s="814">
        <f t="shared" ref="I26:P26" si="9">VLOOKUP($A26&amp;$B26&amp;I$10,Base,9,FALSE)</f>
        <v>1133811.24</v>
      </c>
      <c r="J26" s="814">
        <f t="shared" si="9"/>
        <v>1133811.24</v>
      </c>
      <c r="K26" s="814">
        <f t="shared" si="9"/>
        <v>1133811.24</v>
      </c>
      <c r="L26" s="814">
        <f t="shared" si="9"/>
        <v>1133811.24</v>
      </c>
      <c r="M26" s="814">
        <f t="shared" si="9"/>
        <v>1133811.24</v>
      </c>
      <c r="N26" s="814">
        <f t="shared" si="9"/>
        <v>1133811.24</v>
      </c>
      <c r="O26" s="814">
        <f t="shared" si="9"/>
        <v>1133811.24</v>
      </c>
      <c r="P26" s="814">
        <f t="shared" si="9"/>
        <v>1133811.24</v>
      </c>
      <c r="Q26" s="160"/>
      <c r="R26" s="160"/>
      <c r="S26" s="160"/>
      <c r="T26" s="250">
        <f>SUM(H26:S26)</f>
        <v>9070489.9199999999</v>
      </c>
      <c r="U26" s="903"/>
    </row>
    <row r="27" spans="1:21" x14ac:dyDescent="0.25">
      <c r="A27" s="919"/>
      <c r="B27" s="919"/>
      <c r="C27" s="812">
        <f>COUNT(#REF!)</f>
        <v>0</v>
      </c>
      <c r="D27" s="920"/>
      <c r="E27" s="917" t="s">
        <v>955</v>
      </c>
      <c r="F27" s="923">
        <f>SUM(F13:F26)</f>
        <v>133250495.42559999</v>
      </c>
      <c r="G27" s="176">
        <f t="shared" ref="G27:T28" si="10">+G25+G19+G17+G15+G13+G21+G23</f>
        <v>10967938.316799998</v>
      </c>
      <c r="H27" s="176">
        <f t="shared" si="10"/>
        <v>10967938.316799998</v>
      </c>
      <c r="I27" s="176">
        <f t="shared" si="10"/>
        <v>10967938.316799998</v>
      </c>
      <c r="J27" s="176">
        <f t="shared" si="10"/>
        <v>10967938.316799998</v>
      </c>
      <c r="K27" s="176">
        <f t="shared" si="10"/>
        <v>10967938.316799998</v>
      </c>
      <c r="L27" s="176">
        <f t="shared" si="10"/>
        <v>10967938.316799998</v>
      </c>
      <c r="M27" s="176">
        <f t="shared" si="10"/>
        <v>10967938.316799998</v>
      </c>
      <c r="N27" s="176">
        <f t="shared" si="10"/>
        <v>10967938.316799998</v>
      </c>
      <c r="O27" s="176">
        <f t="shared" si="10"/>
        <v>10967938.316799998</v>
      </c>
      <c r="P27" s="176">
        <f t="shared" si="10"/>
        <v>10967938.316799998</v>
      </c>
      <c r="Q27" s="176">
        <f t="shared" si="10"/>
        <v>10967938.316799998</v>
      </c>
      <c r="R27" s="176">
        <f t="shared" si="10"/>
        <v>10967938.316799998</v>
      </c>
      <c r="S27" s="176">
        <f t="shared" si="10"/>
        <v>10967938.316799998</v>
      </c>
      <c r="T27" s="176">
        <f ca="1">+T25+T19+T17+T15+T13+T21+T23</f>
        <v>109679383.168</v>
      </c>
      <c r="U27" s="5"/>
    </row>
    <row r="28" spans="1:21" ht="27" customHeight="1" x14ac:dyDescent="0.25">
      <c r="A28" s="919"/>
      <c r="B28" s="919"/>
      <c r="C28" s="178"/>
      <c r="D28" s="920"/>
      <c r="E28" s="917"/>
      <c r="F28" s="923"/>
      <c r="G28" s="176">
        <f t="shared" si="10"/>
        <v>0</v>
      </c>
      <c r="H28" s="176">
        <f t="shared" si="10"/>
        <v>0</v>
      </c>
      <c r="I28" s="176">
        <f t="shared" si="10"/>
        <v>8266626.5779999997</v>
      </c>
      <c r="J28" s="176">
        <f t="shared" si="10"/>
        <v>12959211.127999999</v>
      </c>
      <c r="K28" s="176">
        <f t="shared" si="10"/>
        <v>10612919.104799999</v>
      </c>
      <c r="L28" s="176">
        <f>++L14+L16+L18+L20+L22+L24+L26</f>
        <v>10612919.104799999</v>
      </c>
      <c r="M28" s="176">
        <f t="shared" si="10"/>
        <v>10612919.124799998</v>
      </c>
      <c r="N28" s="176">
        <f t="shared" si="10"/>
        <v>10612917.024799999</v>
      </c>
      <c r="O28" s="176">
        <f t="shared" si="10"/>
        <v>10612917.024799999</v>
      </c>
      <c r="P28" s="176">
        <f t="shared" si="10"/>
        <v>10612917.024799999</v>
      </c>
      <c r="Q28" s="176">
        <f t="shared" si="10"/>
        <v>0</v>
      </c>
      <c r="R28" s="176">
        <f t="shared" si="10"/>
        <v>0</v>
      </c>
      <c r="S28" s="176">
        <f t="shared" si="10"/>
        <v>0</v>
      </c>
      <c r="T28" s="176">
        <f t="shared" si="10"/>
        <v>84903346.114799991</v>
      </c>
      <c r="U28" s="70"/>
    </row>
    <row r="29" spans="1:21" ht="43.35" customHeight="1" x14ac:dyDescent="0.25">
      <c r="A29" s="22" t="s">
        <v>78</v>
      </c>
      <c r="B29" s="22">
        <v>99001</v>
      </c>
      <c r="C29" s="780"/>
      <c r="D29" s="780"/>
      <c r="E29" s="782" t="s">
        <v>953</v>
      </c>
      <c r="F29" s="166">
        <f>SUM(H29:S29)</f>
        <v>136129620.85000002</v>
      </c>
      <c r="G29" s="166"/>
      <c r="H29" s="166"/>
      <c r="I29" s="166">
        <f t="shared" ref="I29:S30" si="11">VLOOKUP($A29&amp;$B29&amp;I$10,Base,8,FALSE)</f>
        <v>7132815.3399999999</v>
      </c>
      <c r="J29" s="166">
        <f t="shared" si="11"/>
        <v>11825399.890000001</v>
      </c>
      <c r="K29" s="166">
        <f t="shared" si="11"/>
        <v>9479107.3499999996</v>
      </c>
      <c r="L29" s="166">
        <f t="shared" si="11"/>
        <v>9479107.8800000008</v>
      </c>
      <c r="M29" s="166">
        <f t="shared" si="11"/>
        <v>9479107.8800000008</v>
      </c>
      <c r="N29" s="166">
        <f t="shared" si="11"/>
        <v>9479106.2899999991</v>
      </c>
      <c r="O29" s="166">
        <f t="shared" si="11"/>
        <v>9479106.2899999991</v>
      </c>
      <c r="P29" s="166">
        <f t="shared" si="11"/>
        <v>9479106.2899999991</v>
      </c>
      <c r="Q29" s="166">
        <f t="shared" si="11"/>
        <v>24962500.399999999</v>
      </c>
      <c r="R29" s="166">
        <f t="shared" si="11"/>
        <v>11480214.810000001</v>
      </c>
      <c r="S29" s="166">
        <f t="shared" si="11"/>
        <v>23854048.43</v>
      </c>
      <c r="T29" s="67"/>
      <c r="U29" s="461"/>
    </row>
    <row r="30" spans="1:21" ht="43.35" customHeight="1" x14ac:dyDescent="0.25">
      <c r="A30" s="808">
        <v>70000</v>
      </c>
      <c r="B30" s="808" t="s">
        <v>79</v>
      </c>
      <c r="C30" s="781"/>
      <c r="D30" s="781"/>
      <c r="E30" s="809" t="s">
        <v>954</v>
      </c>
      <c r="F30" s="160">
        <f>SUM(H30:S30)</f>
        <v>24571908</v>
      </c>
      <c r="G30" s="160"/>
      <c r="H30" s="160">
        <f>VLOOKUP($A30&amp;$B30&amp;H$10,Base,8,FALSE)</f>
        <v>0</v>
      </c>
      <c r="I30" s="160">
        <f t="shared" si="11"/>
        <v>1133811.24</v>
      </c>
      <c r="J30" s="160">
        <f t="shared" si="11"/>
        <v>1133811.24</v>
      </c>
      <c r="K30" s="160">
        <f t="shared" si="11"/>
        <v>1133811.24</v>
      </c>
      <c r="L30" s="160">
        <f t="shared" si="11"/>
        <v>1133811.24</v>
      </c>
      <c r="M30" s="160">
        <f t="shared" si="11"/>
        <v>1133811.24</v>
      </c>
      <c r="N30" s="160">
        <f t="shared" si="11"/>
        <v>1133811.24</v>
      </c>
      <c r="O30" s="160">
        <f t="shared" si="11"/>
        <v>1133811.24</v>
      </c>
      <c r="P30" s="160">
        <f t="shared" si="11"/>
        <v>1133811.24</v>
      </c>
      <c r="Q30" s="160">
        <f t="shared" si="11"/>
        <v>14696428.08</v>
      </c>
      <c r="R30" s="160">
        <f t="shared" si="11"/>
        <v>268333</v>
      </c>
      <c r="S30" s="160">
        <f t="shared" si="11"/>
        <v>536657</v>
      </c>
      <c r="T30" s="250"/>
      <c r="U30" s="461"/>
    </row>
    <row r="31" spans="1:21" ht="43.35" customHeight="1" x14ac:dyDescent="0.25">
      <c r="A31" s="808"/>
      <c r="B31" s="808"/>
      <c r="C31" s="781"/>
      <c r="D31" s="781"/>
      <c r="E31" s="809" t="s">
        <v>958</v>
      </c>
      <c r="F31" s="160">
        <f>F29+F30</f>
        <v>160701528.85000002</v>
      </c>
      <c r="G31" s="160"/>
      <c r="H31" s="160">
        <f>SUM(H29:H30)</f>
        <v>0</v>
      </c>
      <c r="I31" s="160">
        <f t="shared" ref="I31:S31" si="12">SUM(I29:I30)</f>
        <v>8266626.5800000001</v>
      </c>
      <c r="J31" s="160">
        <f t="shared" si="12"/>
        <v>12959211.130000001</v>
      </c>
      <c r="K31" s="160">
        <f t="shared" si="12"/>
        <v>10612918.59</v>
      </c>
      <c r="L31" s="160">
        <f t="shared" si="12"/>
        <v>10612919.120000001</v>
      </c>
      <c r="M31" s="160">
        <f t="shared" si="12"/>
        <v>10612919.120000001</v>
      </c>
      <c r="N31" s="160">
        <f t="shared" si="12"/>
        <v>10612917.529999999</v>
      </c>
      <c r="O31" s="160">
        <f t="shared" si="12"/>
        <v>10612917.529999999</v>
      </c>
      <c r="P31" s="160">
        <f t="shared" si="12"/>
        <v>10612917.529999999</v>
      </c>
      <c r="Q31" s="160">
        <f t="shared" si="12"/>
        <v>39658928.479999997</v>
      </c>
      <c r="R31" s="160">
        <f t="shared" si="12"/>
        <v>11748547.810000001</v>
      </c>
      <c r="S31" s="160">
        <f t="shared" si="12"/>
        <v>24390705.43</v>
      </c>
      <c r="T31" s="67">
        <f ca="1">SUM($H31:(OFFSET($H31,0,AVANCE060826!$T$2)))</f>
        <v>124562275.61000001</v>
      </c>
      <c r="U31" s="461"/>
    </row>
    <row r="32" spans="1:21" ht="43.35" customHeight="1" x14ac:dyDescent="0.25">
      <c r="A32" s="178"/>
      <c r="B32" s="178"/>
      <c r="C32" s="780"/>
      <c r="D32" s="780"/>
      <c r="E32" s="782" t="s">
        <v>956</v>
      </c>
      <c r="F32" s="166">
        <f>(F29+F30)-F27</f>
        <v>27451033.424400032</v>
      </c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67">
        <f ca="1">T31-T27</f>
        <v>14882892.442000017</v>
      </c>
      <c r="U32" s="235"/>
    </row>
    <row r="33" spans="1:21" ht="43.35" customHeight="1" x14ac:dyDescent="0.25">
      <c r="A33" s="178"/>
      <c r="B33" s="178"/>
      <c r="C33" s="780"/>
      <c r="D33" s="780"/>
      <c r="E33" s="782" t="s">
        <v>51</v>
      </c>
      <c r="F33" s="166">
        <f>F27+F32</f>
        <v>160701528.85000002</v>
      </c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67"/>
      <c r="U33" s="235"/>
    </row>
    <row r="34" spans="1:21" ht="31.5" customHeight="1" x14ac:dyDescent="0.25">
      <c r="I34" s="9"/>
      <c r="J34" s="9"/>
      <c r="K34" s="299"/>
      <c r="L34" s="9"/>
      <c r="N34" s="9"/>
      <c r="O34" s="9"/>
      <c r="P34" s="9"/>
      <c r="S34" s="9"/>
      <c r="T34" s="3"/>
    </row>
    <row r="35" spans="1:21" ht="31.5" customHeight="1" x14ac:dyDescent="0.25">
      <c r="I35" s="9"/>
      <c r="J35" s="9"/>
      <c r="K35" s="299"/>
      <c r="L35" s="9"/>
      <c r="N35" s="9"/>
      <c r="O35" s="9"/>
      <c r="P35" s="9"/>
      <c r="S35" s="9"/>
      <c r="T35" s="3"/>
    </row>
    <row r="36" spans="1:21" ht="31.5" customHeight="1" x14ac:dyDescent="0.25">
      <c r="I36" s="9"/>
      <c r="J36" s="9"/>
      <c r="K36" s="299"/>
      <c r="L36" s="9"/>
      <c r="N36" s="9"/>
      <c r="O36" s="9"/>
      <c r="P36" s="9"/>
      <c r="S36" s="9"/>
      <c r="T36" s="3"/>
    </row>
    <row r="37" spans="1:21" ht="31.5" customHeight="1" x14ac:dyDescent="0.25">
      <c r="I37" s="9"/>
      <c r="J37" s="9"/>
      <c r="K37" s="299"/>
      <c r="L37" s="9"/>
      <c r="N37" s="9"/>
      <c r="O37" s="9"/>
      <c r="P37" s="9"/>
      <c r="S37" s="9"/>
      <c r="T37" s="3"/>
    </row>
    <row r="38" spans="1:21" ht="31.5" customHeight="1" x14ac:dyDescent="0.25">
      <c r="I38" s="9"/>
      <c r="J38" s="9"/>
      <c r="K38" s="299"/>
      <c r="L38" s="9"/>
      <c r="N38" s="9"/>
      <c r="O38" s="9"/>
      <c r="P38" s="9"/>
      <c r="S38" s="9"/>
      <c r="T38" s="3"/>
    </row>
    <row r="39" spans="1:21" ht="31.5" customHeight="1" x14ac:dyDescent="0.25">
      <c r="I39" s="9"/>
      <c r="J39" s="9"/>
      <c r="K39" s="299"/>
      <c r="L39" s="9"/>
      <c r="N39" s="9"/>
      <c r="O39" s="9"/>
      <c r="P39" s="9"/>
      <c r="S39" s="9"/>
      <c r="T39" s="3"/>
    </row>
    <row r="40" spans="1:21" x14ac:dyDescent="0.25">
      <c r="N40" s="3"/>
      <c r="T40" s="2"/>
    </row>
    <row r="41" spans="1:21" x14ac:dyDescent="0.25">
      <c r="T41" s="3"/>
    </row>
    <row r="42" spans="1:21" x14ac:dyDescent="0.25">
      <c r="T42" s="3"/>
    </row>
  </sheetData>
  <mergeCells count="52">
    <mergeCell ref="A27:A28"/>
    <mergeCell ref="B27:B28"/>
    <mergeCell ref="D27:D28"/>
    <mergeCell ref="U25:U26"/>
    <mergeCell ref="D25:D26"/>
    <mergeCell ref="E25:E26"/>
    <mergeCell ref="F25:F26"/>
    <mergeCell ref="F27:F28"/>
    <mergeCell ref="E27:E28"/>
    <mergeCell ref="U19:U20"/>
    <mergeCell ref="D21:D22"/>
    <mergeCell ref="E21:E22"/>
    <mergeCell ref="F21:F22"/>
    <mergeCell ref="D23:D24"/>
    <mergeCell ref="E23:E24"/>
    <mergeCell ref="F23:F24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P11:P12"/>
    <mergeCell ref="Q11:Q12"/>
    <mergeCell ref="R11:R12"/>
    <mergeCell ref="S11:S12"/>
    <mergeCell ref="T11:T12"/>
    <mergeCell ref="J11:J12"/>
    <mergeCell ref="D7:U7"/>
    <mergeCell ref="E8:F8"/>
    <mergeCell ref="C11:C12"/>
    <mergeCell ref="D11:D12"/>
    <mergeCell ref="E11:E12"/>
    <mergeCell ref="F11:F12"/>
    <mergeCell ref="G11:G12"/>
    <mergeCell ref="H11:H12"/>
    <mergeCell ref="I11:I12"/>
    <mergeCell ref="K11:K12"/>
    <mergeCell ref="L11:L12"/>
    <mergeCell ref="M11:M12"/>
    <mergeCell ref="N11:N12"/>
    <mergeCell ref="O11:O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27" fitToHeight="21" orientation="landscape" r:id="rId1"/>
  <ignoredErrors>
    <ignoredError sqref="I16:N16 O16 I18:N18 I20:N20 I22:N22 I24:N24" formula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zoomScale="60" zoomScaleNormal="60" zoomScaleSheetLayoutView="70" zoomScalePageLayoutView="80" workbookViewId="0">
      <pane xSplit="2" ySplit="11" topLeftCell="C20" activePane="bottomRight" state="frozen"/>
      <selection pane="topRight" activeCell="C1" sqref="C1"/>
      <selection pane="bottomLeft" activeCell="A12" sqref="A12"/>
      <selection pane="bottomRight" activeCell="O12" sqref="O12:O26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6.7109375" customWidth="1"/>
    <col min="5" max="5" width="27.28515625" style="1" customWidth="1"/>
    <col min="6" max="6" width="21.28515625" customWidth="1"/>
    <col min="7" max="7" width="17.85546875" customWidth="1"/>
    <col min="8" max="8" width="21.140625" customWidth="1"/>
    <col min="9" max="9" width="20" customWidth="1"/>
    <col min="10" max="10" width="18.28515625" customWidth="1"/>
    <col min="11" max="12" width="11.7109375" hidden="1" customWidth="1"/>
    <col min="13" max="13" width="47.140625" customWidth="1"/>
    <col min="14" max="14" width="0.140625" customWidth="1"/>
    <col min="15" max="15" width="28" customWidth="1"/>
    <col min="16" max="16365" width="11.42578125" customWidth="1"/>
  </cols>
  <sheetData>
    <row r="1" spans="1:18" ht="18" x14ac:dyDescent="0.25">
      <c r="D1" s="10" t="s">
        <v>25</v>
      </c>
      <c r="M1" s="11"/>
    </row>
    <row r="2" spans="1:18" ht="18" x14ac:dyDescent="0.25">
      <c r="D2" s="10" t="s">
        <v>24</v>
      </c>
    </row>
    <row r="3" spans="1:18" ht="18" x14ac:dyDescent="0.25">
      <c r="D3" s="10" t="s">
        <v>23</v>
      </c>
    </row>
    <row r="4" spans="1:18" ht="18" x14ac:dyDescent="0.25">
      <c r="D4" s="10" t="s">
        <v>22</v>
      </c>
      <c r="K4" s="9"/>
      <c r="L4" s="9"/>
    </row>
    <row r="5" spans="1:18" ht="18" x14ac:dyDescent="0.25">
      <c r="D5" s="10" t="s">
        <v>21</v>
      </c>
    </row>
    <row r="6" spans="1:18" ht="20.25" x14ac:dyDescent="0.3">
      <c r="D6" s="14" t="s">
        <v>20</v>
      </c>
      <c r="E6" s="15"/>
      <c r="F6" s="16"/>
      <c r="G6" s="16"/>
      <c r="H6" s="17"/>
      <c r="I6" s="320"/>
      <c r="J6" s="17"/>
      <c r="K6" s="17"/>
      <c r="L6" s="17"/>
      <c r="M6" s="17"/>
    </row>
    <row r="7" spans="1:18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8" ht="18" x14ac:dyDescent="0.25">
      <c r="D8" s="39" t="s">
        <v>31</v>
      </c>
      <c r="E8" s="10" t="s">
        <v>129</v>
      </c>
      <c r="H8" s="9"/>
      <c r="I8" s="9"/>
    </row>
    <row r="9" spans="1:18" ht="18.75" thickBot="1" x14ac:dyDescent="0.3">
      <c r="D9" s="10"/>
      <c r="G9" s="9"/>
      <c r="I9" s="9"/>
    </row>
    <row r="10" spans="1:18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89</v>
      </c>
      <c r="H10" s="881" t="s">
        <v>90</v>
      </c>
      <c r="I10" s="881"/>
      <c r="J10" s="836" t="s">
        <v>27</v>
      </c>
      <c r="K10" s="835"/>
      <c r="L10" s="865" t="s">
        <v>28</v>
      </c>
      <c r="M10" s="850" t="s">
        <v>14</v>
      </c>
    </row>
    <row r="11" spans="1:18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66"/>
      <c r="M11" s="882"/>
    </row>
    <row r="12" spans="1:18" ht="48" customHeight="1" thickTop="1" x14ac:dyDescent="0.25">
      <c r="A12" s="154">
        <v>102416</v>
      </c>
      <c r="B12" s="308">
        <v>200200</v>
      </c>
      <c r="C12" s="309" t="s">
        <v>339</v>
      </c>
      <c r="D12" s="763" t="s">
        <v>340</v>
      </c>
      <c r="E12" s="321" t="s">
        <v>341</v>
      </c>
      <c r="F12" s="310">
        <f>DGO_Calendario!F13</f>
        <v>97440</v>
      </c>
      <c r="G12" s="310">
        <f>+F12/12</f>
        <v>8120</v>
      </c>
      <c r="H12" s="67">
        <f ca="1">DGO_Calendario!T13</f>
        <v>73080</v>
      </c>
      <c r="I12" s="67">
        <f>DGO_Calendario!T14</f>
        <v>73075.56</v>
      </c>
      <c r="J12" s="67">
        <f t="shared" ref="J12:J27" ca="1" si="0">H12-I12</f>
        <v>4.4400000000023283</v>
      </c>
      <c r="K12" s="67">
        <f ca="1">+J12/H12*100</f>
        <v>6.0755336617437442E-3</v>
      </c>
      <c r="L12" s="67">
        <f ca="1">+I12/H12*100</f>
        <v>99.993924466338257</v>
      </c>
      <c r="M12" s="255" t="s">
        <v>973</v>
      </c>
    </row>
    <row r="13" spans="1:18" ht="48.75" customHeight="1" x14ac:dyDescent="0.25">
      <c r="A13" s="159">
        <v>102406</v>
      </c>
      <c r="B13" s="311">
        <v>200200</v>
      </c>
      <c r="C13" s="309" t="s">
        <v>342</v>
      </c>
      <c r="D13" s="762" t="s">
        <v>343</v>
      </c>
      <c r="E13" s="321" t="s">
        <v>344</v>
      </c>
      <c r="F13" s="310">
        <f>DGO_Calendario!F15</f>
        <v>83520</v>
      </c>
      <c r="G13" s="310">
        <v>6960</v>
      </c>
      <c r="H13" s="67">
        <f ca="1">DGO_Calendario!T15</f>
        <v>71523</v>
      </c>
      <c r="I13" s="67">
        <f>DGO_Calendario!T16</f>
        <v>55680</v>
      </c>
      <c r="J13" s="67">
        <f t="shared" ca="1" si="0"/>
        <v>15843</v>
      </c>
      <c r="K13" s="67">
        <f ca="1">+J13/H13*100</f>
        <v>22.150916488402331</v>
      </c>
      <c r="L13" s="67">
        <f ca="1">+I13/H13*100</f>
        <v>77.849083511597669</v>
      </c>
      <c r="M13" s="255" t="s">
        <v>375</v>
      </c>
      <c r="P13" s="322"/>
      <c r="Q13" s="323"/>
      <c r="R13" s="323"/>
    </row>
    <row r="14" spans="1:18" ht="34.5" customHeight="1" x14ac:dyDescent="0.25">
      <c r="A14" s="159">
        <v>102418</v>
      </c>
      <c r="B14" s="311">
        <v>200200</v>
      </c>
      <c r="C14" s="309" t="s">
        <v>345</v>
      </c>
      <c r="D14" s="240" t="s">
        <v>346</v>
      </c>
      <c r="E14" s="243" t="s">
        <v>347</v>
      </c>
      <c r="F14" s="310">
        <f>DGO_Calendario!F17</f>
        <v>97440</v>
      </c>
      <c r="G14" s="310">
        <v>8120</v>
      </c>
      <c r="H14" s="67">
        <f ca="1">DGO_Calendario!T17</f>
        <v>84240</v>
      </c>
      <c r="I14" s="67">
        <f>DGO_Calendario!T18</f>
        <v>64959.93</v>
      </c>
      <c r="J14" s="67">
        <f t="shared" ca="1" si="0"/>
        <v>19280.07</v>
      </c>
      <c r="K14" s="67">
        <f ca="1">+J14/H14*100</f>
        <v>22.887072649572648</v>
      </c>
      <c r="L14" s="67">
        <f ca="1">+I14/H14*100</f>
        <v>77.112927350427356</v>
      </c>
      <c r="M14" s="255" t="s">
        <v>973</v>
      </c>
      <c r="P14" s="322"/>
      <c r="Q14" s="323"/>
      <c r="R14" s="323"/>
    </row>
    <row r="15" spans="1:18" ht="48" customHeight="1" x14ac:dyDescent="0.25">
      <c r="A15" s="159">
        <v>102403</v>
      </c>
      <c r="B15" s="311">
        <v>200200</v>
      </c>
      <c r="C15" s="309" t="s">
        <v>348</v>
      </c>
      <c r="D15" s="764" t="s">
        <v>349</v>
      </c>
      <c r="E15" s="779" t="s">
        <v>350</v>
      </c>
      <c r="F15" s="310">
        <f>DGO_Calendario!F19</f>
        <v>2502444</v>
      </c>
      <c r="G15" s="310">
        <f>+F15/12</f>
        <v>208537</v>
      </c>
      <c r="H15" s="67">
        <f ca="1">DGO_Calendario!T19</f>
        <v>1876833</v>
      </c>
      <c r="I15" s="67">
        <f>DGO_Calendario!T20</f>
        <v>1668288</v>
      </c>
      <c r="J15" s="67">
        <f t="shared" ca="1" si="0"/>
        <v>208545</v>
      </c>
      <c r="K15" s="67">
        <f t="shared" ref="K15:K23" ca="1" si="1">+J15/H15*100</f>
        <v>11.111537361075813</v>
      </c>
      <c r="L15" s="67">
        <f t="shared" ref="L15:L23" ca="1" si="2">+I15/H15*100</f>
        <v>88.888462638924196</v>
      </c>
      <c r="M15" s="255" t="s">
        <v>973</v>
      </c>
      <c r="P15" s="322"/>
      <c r="Q15" s="323"/>
      <c r="R15" s="323"/>
    </row>
    <row r="16" spans="1:18" ht="48" customHeight="1" x14ac:dyDescent="0.25">
      <c r="A16" s="159">
        <v>102419</v>
      </c>
      <c r="B16" s="311">
        <v>200200</v>
      </c>
      <c r="C16" s="309" t="s">
        <v>351</v>
      </c>
      <c r="D16" s="765" t="s">
        <v>352</v>
      </c>
      <c r="E16" s="321" t="s">
        <v>353</v>
      </c>
      <c r="F16" s="310">
        <f>DGO_Calendario!F21</f>
        <v>76560</v>
      </c>
      <c r="G16" s="310">
        <f>+F16/12</f>
        <v>6380</v>
      </c>
      <c r="H16" s="67">
        <f ca="1">DGO_Calendario!T21</f>
        <v>57420</v>
      </c>
      <c r="I16" s="67">
        <f>DGO_Calendario!T22</f>
        <v>57420</v>
      </c>
      <c r="J16" s="67">
        <f t="shared" ca="1" si="0"/>
        <v>0</v>
      </c>
      <c r="K16" s="67">
        <f t="shared" ca="1" si="1"/>
        <v>0</v>
      </c>
      <c r="L16" s="67">
        <f t="shared" ca="1" si="2"/>
        <v>100</v>
      </c>
      <c r="M16" s="255" t="s">
        <v>973</v>
      </c>
      <c r="P16" s="322"/>
      <c r="Q16" s="323"/>
      <c r="R16" s="323"/>
    </row>
    <row r="17" spans="1:19" ht="51.75" customHeight="1" x14ac:dyDescent="0.25">
      <c r="A17" s="159">
        <v>102416</v>
      </c>
      <c r="B17" s="159">
        <v>200201</v>
      </c>
      <c r="C17" s="309" t="s">
        <v>354</v>
      </c>
      <c r="D17" s="765" t="s">
        <v>355</v>
      </c>
      <c r="E17" s="321" t="s">
        <v>356</v>
      </c>
      <c r="F17" s="310">
        <f>DGO_Calendario!F23</f>
        <v>208800</v>
      </c>
      <c r="G17" s="310">
        <f>+F17/12</f>
        <v>17400</v>
      </c>
      <c r="H17" s="67">
        <f ca="1">DGO_Calendario!T23</f>
        <v>156600</v>
      </c>
      <c r="I17" s="67">
        <f>DGO_Calendario!T24</f>
        <v>121799.91</v>
      </c>
      <c r="J17" s="67">
        <f t="shared" ca="1" si="0"/>
        <v>34800.089999999997</v>
      </c>
      <c r="K17" s="67">
        <f t="shared" ca="1" si="1"/>
        <v>22.222279693486588</v>
      </c>
      <c r="L17" s="67">
        <f t="shared" ca="1" si="2"/>
        <v>77.777720306513416</v>
      </c>
      <c r="M17" s="255" t="s">
        <v>420</v>
      </c>
      <c r="P17" s="322"/>
      <c r="Q17" s="323"/>
      <c r="R17" s="323"/>
    </row>
    <row r="18" spans="1:19" ht="48.75" customHeight="1" x14ac:dyDescent="0.25">
      <c r="A18" s="159">
        <v>100401</v>
      </c>
      <c r="B18" s="311">
        <v>200201</v>
      </c>
      <c r="C18" s="309" t="s">
        <v>357</v>
      </c>
      <c r="D18" s="765" t="s">
        <v>358</v>
      </c>
      <c r="E18" s="321" t="s">
        <v>359</v>
      </c>
      <c r="F18" s="310"/>
      <c r="G18" s="310"/>
      <c r="H18" s="67"/>
      <c r="I18" s="67"/>
      <c r="J18" s="67">
        <f t="shared" si="0"/>
        <v>0</v>
      </c>
      <c r="K18" s="67" t="e">
        <f t="shared" si="1"/>
        <v>#DIV/0!</v>
      </c>
      <c r="L18" s="67" t="e">
        <f t="shared" si="2"/>
        <v>#DIV/0!</v>
      </c>
      <c r="M18" s="255" t="s">
        <v>320</v>
      </c>
      <c r="P18" s="322"/>
      <c r="Q18" s="323"/>
      <c r="R18" s="323"/>
    </row>
    <row r="19" spans="1:19" ht="60.75" customHeight="1" x14ac:dyDescent="0.25">
      <c r="A19" s="159">
        <v>105902</v>
      </c>
      <c r="B19" s="311">
        <v>380200</v>
      </c>
      <c r="C19" s="309" t="s">
        <v>360</v>
      </c>
      <c r="D19" s="765" t="s">
        <v>361</v>
      </c>
      <c r="E19" s="321" t="s">
        <v>362</v>
      </c>
      <c r="F19" s="310">
        <f>DGO_Calendario!F27</f>
        <v>487212</v>
      </c>
      <c r="G19" s="310">
        <f>F19/12</f>
        <v>40601</v>
      </c>
      <c r="H19" s="67">
        <f ca="1">DGO_Calendario!T27</f>
        <v>365409</v>
      </c>
      <c r="I19" s="67">
        <f>DGO_Calendario!T28</f>
        <v>365399.74</v>
      </c>
      <c r="J19" s="67">
        <f t="shared" ca="1" si="0"/>
        <v>9.2600000000093132</v>
      </c>
      <c r="K19" s="67">
        <f t="shared" ca="1" si="1"/>
        <v>2.5341466685301437E-3</v>
      </c>
      <c r="L19" s="67">
        <f t="shared" ca="1" si="2"/>
        <v>99.997465853331462</v>
      </c>
      <c r="M19" s="255" t="s">
        <v>973</v>
      </c>
      <c r="P19" s="322"/>
      <c r="Q19" s="323"/>
      <c r="R19" s="323"/>
    </row>
    <row r="20" spans="1:19" ht="44.25" customHeight="1" x14ac:dyDescent="0.25">
      <c r="A20" s="159">
        <v>109001</v>
      </c>
      <c r="B20" s="312" t="s">
        <v>37</v>
      </c>
      <c r="C20" s="309" t="s">
        <v>348</v>
      </c>
      <c r="D20" s="765" t="s">
        <v>363</v>
      </c>
      <c r="E20" s="321" t="s">
        <v>364</v>
      </c>
      <c r="F20" s="310">
        <f>DGO_Calendario!F29</f>
        <v>3758400</v>
      </c>
      <c r="G20" s="310">
        <f>+F20/12</f>
        <v>313200</v>
      </c>
      <c r="H20" s="67">
        <f ca="1">DGO_Calendario!T29</f>
        <v>2852208</v>
      </c>
      <c r="I20" s="67">
        <f>DGO_Calendario!T30</f>
        <v>2505600</v>
      </c>
      <c r="J20" s="67">
        <f t="shared" ca="1" si="0"/>
        <v>346608</v>
      </c>
      <c r="K20" s="67">
        <f t="shared" ca="1" si="1"/>
        <v>12.152269399707174</v>
      </c>
      <c r="L20" s="67">
        <f t="shared" ca="1" si="2"/>
        <v>87.847730600292834</v>
      </c>
      <c r="M20" s="255" t="s">
        <v>973</v>
      </c>
      <c r="P20" s="322"/>
      <c r="Q20" s="323"/>
      <c r="R20" s="323"/>
    </row>
    <row r="21" spans="1:19" ht="64.5" customHeight="1" x14ac:dyDescent="0.25">
      <c r="A21" s="159">
        <v>109102</v>
      </c>
      <c r="B21" s="311">
        <v>900110</v>
      </c>
      <c r="C21" s="309" t="s">
        <v>360</v>
      </c>
      <c r="D21" s="765" t="s">
        <v>365</v>
      </c>
      <c r="E21" s="321" t="s">
        <v>190</v>
      </c>
      <c r="F21" s="310">
        <f>DGO_Calendario!F31</f>
        <v>0</v>
      </c>
      <c r="G21" s="310"/>
      <c r="H21" s="67"/>
      <c r="I21" s="67"/>
      <c r="J21" s="67">
        <f t="shared" si="0"/>
        <v>0</v>
      </c>
      <c r="K21" s="67" t="e">
        <f t="shared" si="1"/>
        <v>#DIV/0!</v>
      </c>
      <c r="L21" s="67" t="e">
        <f t="shared" si="2"/>
        <v>#DIV/0!</v>
      </c>
      <c r="M21" s="255" t="s">
        <v>320</v>
      </c>
      <c r="P21" s="322"/>
      <c r="Q21" s="323"/>
      <c r="R21" s="323"/>
    </row>
    <row r="22" spans="1:19" ht="42.75" customHeight="1" x14ac:dyDescent="0.25">
      <c r="A22" s="313">
        <v>109101</v>
      </c>
      <c r="B22" s="311">
        <v>900110</v>
      </c>
      <c r="C22" s="309" t="s">
        <v>348</v>
      </c>
      <c r="D22" s="765" t="s">
        <v>366</v>
      </c>
      <c r="E22" s="321" t="s">
        <v>190</v>
      </c>
      <c r="F22" s="310">
        <f>DGO_Calendario!F33</f>
        <v>3488491.2</v>
      </c>
      <c r="G22" s="310">
        <f>F22/12</f>
        <v>290707.60000000003</v>
      </c>
      <c r="H22" s="67">
        <f ca="1">DGO_Calendario!T33</f>
        <v>2617650</v>
      </c>
      <c r="I22" s="67">
        <f>DGO_Calendario!T34</f>
        <v>2616368.4699999997</v>
      </c>
      <c r="J22" s="67">
        <f t="shared" ca="1" si="0"/>
        <v>1281.5300000002608</v>
      </c>
      <c r="K22" s="67">
        <f t="shared" ca="1" si="1"/>
        <v>4.8957270834537117E-2</v>
      </c>
      <c r="L22" s="67">
        <f t="shared" ca="1" si="2"/>
        <v>99.951042729165465</v>
      </c>
      <c r="M22" s="255" t="s">
        <v>973</v>
      </c>
      <c r="P22" s="322"/>
      <c r="Q22" s="323"/>
      <c r="R22" s="323"/>
    </row>
    <row r="23" spans="1:19" ht="54.75" customHeight="1" thickBot="1" x14ac:dyDescent="0.3">
      <c r="A23" s="159">
        <v>108102</v>
      </c>
      <c r="B23" s="311">
        <v>140100</v>
      </c>
      <c r="C23" s="314" t="s">
        <v>360</v>
      </c>
      <c r="D23" s="765" t="s">
        <v>367</v>
      </c>
      <c r="E23" s="321" t="s">
        <v>368</v>
      </c>
      <c r="F23" s="310">
        <f>DGO_Calendario!F35</f>
        <v>0</v>
      </c>
      <c r="G23" s="310"/>
      <c r="H23" s="67"/>
      <c r="I23" s="67"/>
      <c r="J23" s="67">
        <f t="shared" si="0"/>
        <v>0</v>
      </c>
      <c r="K23" s="67" t="e">
        <f t="shared" si="1"/>
        <v>#DIV/0!</v>
      </c>
      <c r="L23" s="67" t="e">
        <f t="shared" si="2"/>
        <v>#DIV/0!</v>
      </c>
      <c r="M23" s="255" t="s">
        <v>320</v>
      </c>
      <c r="P23" s="322"/>
      <c r="Q23" s="323"/>
      <c r="R23" s="323"/>
    </row>
    <row r="24" spans="1:19" ht="48" customHeight="1" thickTop="1" thickBot="1" x14ac:dyDescent="0.3">
      <c r="A24" s="154">
        <v>108002</v>
      </c>
      <c r="B24" s="308">
        <v>150900</v>
      </c>
      <c r="C24" s="314"/>
      <c r="D24" s="765" t="s">
        <v>369</v>
      </c>
      <c r="E24" s="321" t="s">
        <v>370</v>
      </c>
      <c r="F24" s="310">
        <f>DGO_Calendario!F37</f>
        <v>5199235.9999999991</v>
      </c>
      <c r="G24" s="310">
        <f>F24/12</f>
        <v>433269.66666666657</v>
      </c>
      <c r="H24" s="67">
        <f ca="1">DGO_Calendario!T37</f>
        <v>3928413.9999999991</v>
      </c>
      <c r="I24" s="67">
        <f>DGO_Calendario!T38</f>
        <v>3810751.959999999</v>
      </c>
      <c r="J24" s="67">
        <f t="shared" ca="1" si="0"/>
        <v>117662.04000000004</v>
      </c>
      <c r="K24" s="67">
        <f ca="1">+J24/H24*100</f>
        <v>2.9951537694346895</v>
      </c>
      <c r="L24" s="67">
        <f ca="1">+I24/H24*100</f>
        <v>97.004846230565306</v>
      </c>
      <c r="M24" s="255" t="s">
        <v>420</v>
      </c>
      <c r="N24" s="324"/>
      <c r="P24" s="280"/>
      <c r="Q24" s="280"/>
      <c r="R24" s="280"/>
      <c r="S24" s="118"/>
    </row>
    <row r="25" spans="1:19" ht="81" customHeight="1" thickTop="1" thickBot="1" x14ac:dyDescent="0.3">
      <c r="A25" s="316">
        <v>108102</v>
      </c>
      <c r="B25" s="317">
        <v>150904</v>
      </c>
      <c r="C25" s="314"/>
      <c r="D25" s="766" t="s">
        <v>376</v>
      </c>
      <c r="E25" s="325" t="s">
        <v>377</v>
      </c>
      <c r="F25" s="310">
        <f>DGO_Calendario!F39</f>
        <v>1461705</v>
      </c>
      <c r="G25" s="326">
        <v>121808.75</v>
      </c>
      <c r="H25" s="67">
        <f ca="1">DGO_Calendario!T39</f>
        <v>1121544</v>
      </c>
      <c r="I25" s="67">
        <f>DGO_Calendario!T40</f>
        <v>1096278.5900000001</v>
      </c>
      <c r="J25" s="259">
        <f t="shared" ca="1" si="0"/>
        <v>25265.409999999916</v>
      </c>
      <c r="K25" s="259">
        <f ca="1">+J25/H25*100</f>
        <v>2.2527346229840215</v>
      </c>
      <c r="L25" s="259">
        <f ca="1">+I25/H25*100</f>
        <v>97.747265377015978</v>
      </c>
      <c r="M25" s="255" t="s">
        <v>973</v>
      </c>
      <c r="P25" s="280"/>
      <c r="Q25" s="280"/>
      <c r="R25" s="280"/>
      <c r="S25" s="118"/>
    </row>
    <row r="26" spans="1:19" ht="78.75" customHeight="1" thickTop="1" thickBot="1" x14ac:dyDescent="0.3">
      <c r="A26" s="316">
        <v>108102</v>
      </c>
      <c r="B26" s="317">
        <v>150904</v>
      </c>
      <c r="C26" s="314"/>
      <c r="D26" s="766" t="s">
        <v>373</v>
      </c>
      <c r="E26" s="325" t="s">
        <v>377</v>
      </c>
      <c r="F26" s="310">
        <f>DGO_Calendario!F41</f>
        <v>1350239.9999999998</v>
      </c>
      <c r="G26" s="326">
        <f>+F26/12</f>
        <v>112519.99999999999</v>
      </c>
      <c r="H26" s="67">
        <f ca="1">DGO_Calendario!T41</f>
        <v>1012679.9999999998</v>
      </c>
      <c r="I26" s="67">
        <f>DGO_Calendario!T42</f>
        <v>1012679.4599999997</v>
      </c>
      <c r="J26" s="259">
        <f t="shared" ca="1" si="0"/>
        <v>0.5400000000372529</v>
      </c>
      <c r="K26" s="259">
        <f ca="1">+J26/H26*100</f>
        <v>5.3323853540827607E-5</v>
      </c>
      <c r="L26" s="259">
        <f ca="1">+I26/H26*100</f>
        <v>99.99994667614645</v>
      </c>
      <c r="M26" s="255" t="s">
        <v>973</v>
      </c>
      <c r="P26" s="280"/>
      <c r="Q26" s="280"/>
      <c r="R26" s="280"/>
      <c r="S26" s="118"/>
    </row>
    <row r="27" spans="1:19" ht="25.5" customHeight="1" thickBot="1" x14ac:dyDescent="0.3">
      <c r="A27" s="4"/>
      <c r="B27" s="40">
        <v>12</v>
      </c>
      <c r="C27" s="24">
        <f>COUNT(#REF!)</f>
        <v>0</v>
      </c>
      <c r="E27" s="6"/>
      <c r="F27" s="32">
        <f>SUM(F12:F26)</f>
        <v>18811488.199999999</v>
      </c>
      <c r="G27" s="32">
        <f>SUM(G12:G26)</f>
        <v>1567624.0166666666</v>
      </c>
      <c r="H27" s="32">
        <f ca="1">SUM(H12:H26)</f>
        <v>14217601</v>
      </c>
      <c r="I27" s="32">
        <f>SUM(I12:I26)</f>
        <v>13448301.619999997</v>
      </c>
      <c r="J27" s="32">
        <f t="shared" ca="1" si="0"/>
        <v>769299.38000000268</v>
      </c>
      <c r="K27" s="150">
        <f ca="1">+J27/H27*100</f>
        <v>5.410894425859909</v>
      </c>
      <c r="L27" s="151">
        <f ca="1">+I27/H27*100</f>
        <v>94.589105574140092</v>
      </c>
      <c r="R27" s="9"/>
    </row>
    <row r="28" spans="1:19" ht="11.25" customHeight="1" x14ac:dyDescent="0.25">
      <c r="F28" s="3"/>
      <c r="G28" s="3"/>
      <c r="H28" s="2"/>
      <c r="I28" s="2"/>
      <c r="J28" s="2"/>
      <c r="K28" s="2"/>
      <c r="L28" s="2"/>
      <c r="M28" s="857"/>
    </row>
    <row r="29" spans="1:19" ht="31.5" customHeight="1" x14ac:dyDescent="0.25">
      <c r="H29" s="2"/>
      <c r="I29" s="2"/>
      <c r="J29" s="2"/>
      <c r="K29" s="2"/>
      <c r="L29" s="2"/>
      <c r="M29" s="857"/>
    </row>
    <row r="30" spans="1:19" x14ac:dyDescent="0.25">
      <c r="F30" s="9"/>
    </row>
    <row r="39" spans="13:13" x14ac:dyDescent="0.25">
      <c r="M39" s="5"/>
    </row>
  </sheetData>
  <autoFilter ref="A11:A27"/>
  <mergeCells count="12">
    <mergeCell ref="M10:M11"/>
    <mergeCell ref="M28:M29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4" fitToHeight="21" orientation="landscape" r:id="rId1"/>
  <ignoredErrors>
    <ignoredError sqref="F12:G26" unlockedFormula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opLeftCell="A6" zoomScaleNormal="100" zoomScaleSheetLayoutView="85" zoomScalePageLayoutView="80" workbookViewId="0">
      <pane xSplit="3" ySplit="7" topLeftCell="K13" activePane="bottomRight" state="frozen"/>
      <selection activeCell="A6" sqref="A6"/>
      <selection pane="topRight" activeCell="D6" sqref="D6"/>
      <selection pane="bottomLeft" activeCell="A12" sqref="A12"/>
      <selection pane="bottomRight" activeCell="U9" sqref="U9"/>
    </sheetView>
  </sheetViews>
  <sheetFormatPr baseColWidth="10" defaultRowHeight="15" x14ac:dyDescent="0.25"/>
  <cols>
    <col min="1" max="1" width="9.5703125" customWidth="1"/>
    <col min="2" max="2" width="8.42578125" customWidth="1"/>
    <col min="3" max="3" width="17.85546875" hidden="1" customWidth="1"/>
    <col min="4" max="4" width="26.7109375" customWidth="1"/>
    <col min="5" max="5" width="27.28515625" style="1" customWidth="1"/>
    <col min="6" max="19" width="17.85546875" customWidth="1"/>
    <col min="20" max="20" width="16.5703125" style="265" customWidth="1"/>
    <col min="21" max="21" width="47.140625" customWidth="1"/>
    <col min="22" max="22" width="0.14062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129</v>
      </c>
      <c r="T8" s="307"/>
    </row>
    <row r="9" spans="1:21" ht="18.75" thickBot="1" x14ac:dyDescent="0.3">
      <c r="D9" s="39"/>
      <c r="E9" s="10"/>
      <c r="T9" s="307"/>
    </row>
    <row r="10" spans="1:21" ht="18.75" hidden="1" thickBot="1" x14ac:dyDescent="0.3">
      <c r="D10" s="10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89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153"/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153" t="s">
        <v>51</v>
      </c>
      <c r="U12" s="877"/>
    </row>
    <row r="13" spans="1:21" ht="30" customHeight="1" thickTop="1" thickBot="1" x14ac:dyDescent="0.3">
      <c r="A13" s="308">
        <v>200200</v>
      </c>
      <c r="B13" s="783">
        <v>102416</v>
      </c>
      <c r="C13" s="309" t="s">
        <v>339</v>
      </c>
      <c r="D13" s="927" t="s">
        <v>340</v>
      </c>
      <c r="E13" s="924" t="s">
        <v>341</v>
      </c>
      <c r="F13" s="925">
        <f>SUM(H13:S13)</f>
        <v>97440</v>
      </c>
      <c r="G13" s="310">
        <f>+F13/12</f>
        <v>8120</v>
      </c>
      <c r="H13" s="310"/>
      <c r="I13" s="310">
        <f t="shared" ref="I13:S13" si="0">VLOOKUP($A13&amp;$B13&amp;I$10,Base,8,FALSE)</f>
        <v>0</v>
      </c>
      <c r="J13" s="310">
        <f t="shared" si="0"/>
        <v>0</v>
      </c>
      <c r="K13" s="310">
        <f t="shared" si="0"/>
        <v>0</v>
      </c>
      <c r="L13" s="310">
        <f t="shared" si="0"/>
        <v>32479.95</v>
      </c>
      <c r="M13" s="310">
        <f t="shared" si="0"/>
        <v>0</v>
      </c>
      <c r="N13" s="310">
        <f t="shared" si="0"/>
        <v>16238.94</v>
      </c>
      <c r="O13" s="310">
        <f t="shared" si="0"/>
        <v>8118.89</v>
      </c>
      <c r="P13" s="310">
        <f t="shared" si="0"/>
        <v>8118.89</v>
      </c>
      <c r="Q13" s="310">
        <f t="shared" si="0"/>
        <v>8123.33</v>
      </c>
      <c r="R13" s="310">
        <f t="shared" si="0"/>
        <v>8120</v>
      </c>
      <c r="S13" s="310">
        <f t="shared" si="0"/>
        <v>16240</v>
      </c>
      <c r="T13" s="67">
        <f ca="1">SUM($H13:(OFFSET($H13,0,AVANCE060826!$T$2)))</f>
        <v>73080</v>
      </c>
      <c r="U13" s="903"/>
    </row>
    <row r="14" spans="1:21" ht="30" customHeight="1" thickTop="1" x14ac:dyDescent="0.25">
      <c r="A14" s="308">
        <v>200200</v>
      </c>
      <c r="B14" s="783">
        <v>102416</v>
      </c>
      <c r="C14" s="309"/>
      <c r="D14" s="927"/>
      <c r="E14" s="924"/>
      <c r="F14" s="926"/>
      <c r="G14" s="310"/>
      <c r="H14" s="310"/>
      <c r="I14" s="310">
        <f t="shared" ref="I14:S14" si="1">VLOOKUP($A14&amp;$B14&amp;I$10,Base,9,FALSE)</f>
        <v>0</v>
      </c>
      <c r="J14" s="310">
        <f t="shared" si="1"/>
        <v>0</v>
      </c>
      <c r="K14" s="310">
        <f t="shared" si="1"/>
        <v>0</v>
      </c>
      <c r="L14" s="310">
        <f t="shared" si="1"/>
        <v>32479.95</v>
      </c>
      <c r="M14" s="310">
        <f t="shared" si="1"/>
        <v>0</v>
      </c>
      <c r="N14" s="310">
        <f t="shared" si="1"/>
        <v>16238.94</v>
      </c>
      <c r="O14" s="310">
        <f t="shared" si="1"/>
        <v>8118.89</v>
      </c>
      <c r="P14" s="310">
        <f t="shared" si="1"/>
        <v>8118.89</v>
      </c>
      <c r="Q14" s="310">
        <f t="shared" si="1"/>
        <v>8118.89</v>
      </c>
      <c r="R14" s="310">
        <f t="shared" si="1"/>
        <v>0</v>
      </c>
      <c r="S14" s="310">
        <f t="shared" si="1"/>
        <v>0</v>
      </c>
      <c r="T14" s="67">
        <f t="shared" ref="T14:T42" si="2">SUM(H14:S14)</f>
        <v>73075.56</v>
      </c>
      <c r="U14" s="903"/>
    </row>
    <row r="15" spans="1:21" ht="30" customHeight="1" x14ac:dyDescent="0.25">
      <c r="A15" s="311">
        <v>200200</v>
      </c>
      <c r="B15" s="784">
        <v>102406</v>
      </c>
      <c r="C15" s="309" t="s">
        <v>342</v>
      </c>
      <c r="D15" s="924" t="s">
        <v>343</v>
      </c>
      <c r="E15" s="924" t="s">
        <v>344</v>
      </c>
      <c r="F15" s="925">
        <f>SUM(H15:S15)</f>
        <v>83520</v>
      </c>
      <c r="G15" s="310">
        <v>6960</v>
      </c>
      <c r="H15" s="310"/>
      <c r="I15" s="310">
        <f t="shared" ref="I15:S15" si="3">VLOOKUP($A15&amp;$B15&amp;I$10,Base,8,FALSE)</f>
        <v>0</v>
      </c>
      <c r="J15" s="310">
        <f t="shared" si="3"/>
        <v>0</v>
      </c>
      <c r="K15" s="310">
        <f t="shared" si="3"/>
        <v>0</v>
      </c>
      <c r="L15" s="310">
        <f t="shared" si="3"/>
        <v>27840</v>
      </c>
      <c r="M15" s="310">
        <f t="shared" si="3"/>
        <v>6960</v>
      </c>
      <c r="N15" s="310">
        <f t="shared" si="3"/>
        <v>6960</v>
      </c>
      <c r="O15" s="310">
        <f t="shared" si="3"/>
        <v>0</v>
      </c>
      <c r="P15" s="310">
        <f t="shared" si="3"/>
        <v>6960</v>
      </c>
      <c r="Q15" s="310">
        <f t="shared" si="3"/>
        <v>22803</v>
      </c>
      <c r="R15" s="310">
        <f t="shared" si="3"/>
        <v>7947</v>
      </c>
      <c r="S15" s="310">
        <f t="shared" si="3"/>
        <v>4050</v>
      </c>
      <c r="T15" s="67">
        <f ca="1">SUM($H15:(OFFSET($H15,0,AVANCE060826!$T$2)))</f>
        <v>71523</v>
      </c>
      <c r="U15" s="903"/>
    </row>
    <row r="16" spans="1:21" ht="30" customHeight="1" x14ac:dyDescent="0.25">
      <c r="A16" s="311">
        <v>200200</v>
      </c>
      <c r="B16" s="784">
        <v>102406</v>
      </c>
      <c r="C16" s="309"/>
      <c r="D16" s="924"/>
      <c r="E16" s="924"/>
      <c r="F16" s="926"/>
      <c r="G16" s="310"/>
      <c r="H16" s="310"/>
      <c r="I16" s="310">
        <f t="shared" ref="I16:S16" si="4">VLOOKUP($A16&amp;$B16&amp;I$10,Base,9,FALSE)</f>
        <v>0</v>
      </c>
      <c r="J16" s="310">
        <f t="shared" si="4"/>
        <v>0</v>
      </c>
      <c r="K16" s="310">
        <f t="shared" si="4"/>
        <v>0</v>
      </c>
      <c r="L16" s="310">
        <f t="shared" si="4"/>
        <v>27840</v>
      </c>
      <c r="M16" s="310">
        <f t="shared" si="4"/>
        <v>6960</v>
      </c>
      <c r="N16" s="310">
        <f t="shared" si="4"/>
        <v>6960</v>
      </c>
      <c r="O16" s="310">
        <f t="shared" si="4"/>
        <v>0</v>
      </c>
      <c r="P16" s="310">
        <f t="shared" si="4"/>
        <v>6960</v>
      </c>
      <c r="Q16" s="310">
        <f t="shared" si="4"/>
        <v>6960</v>
      </c>
      <c r="R16" s="310">
        <f t="shared" si="4"/>
        <v>0</v>
      </c>
      <c r="S16" s="310">
        <f t="shared" si="4"/>
        <v>0</v>
      </c>
      <c r="T16" s="67">
        <f t="shared" si="2"/>
        <v>55680</v>
      </c>
      <c r="U16" s="903"/>
    </row>
    <row r="17" spans="1:21" ht="30" customHeight="1" x14ac:dyDescent="0.25">
      <c r="A17" s="311">
        <v>200200</v>
      </c>
      <c r="B17" s="784">
        <v>102418</v>
      </c>
      <c r="C17" s="309" t="s">
        <v>345</v>
      </c>
      <c r="D17" s="873" t="s">
        <v>346</v>
      </c>
      <c r="E17" s="873" t="s">
        <v>347</v>
      </c>
      <c r="F17" s="925">
        <f>SUM(H17:S17)</f>
        <v>97440</v>
      </c>
      <c r="G17" s="310">
        <f>+F17/12</f>
        <v>8120</v>
      </c>
      <c r="H17" s="310"/>
      <c r="I17" s="310">
        <f t="shared" ref="I17:S17" si="5">VLOOKUP($A17&amp;$B17&amp;I$10,Base,8,FALSE)</f>
        <v>0</v>
      </c>
      <c r="J17" s="310">
        <f t="shared" si="5"/>
        <v>0</v>
      </c>
      <c r="K17" s="310">
        <f t="shared" si="5"/>
        <v>0</v>
      </c>
      <c r="L17" s="310">
        <f t="shared" si="5"/>
        <v>0</v>
      </c>
      <c r="M17" s="310">
        <f t="shared" si="5"/>
        <v>40599.97</v>
      </c>
      <c r="N17" s="310">
        <f t="shared" si="5"/>
        <v>8120</v>
      </c>
      <c r="O17" s="310">
        <f t="shared" si="5"/>
        <v>8120</v>
      </c>
      <c r="P17" s="310">
        <f t="shared" si="5"/>
        <v>8119.96</v>
      </c>
      <c r="Q17" s="310">
        <f t="shared" si="5"/>
        <v>19280.07</v>
      </c>
      <c r="R17" s="310">
        <f t="shared" si="5"/>
        <v>9360</v>
      </c>
      <c r="S17" s="310">
        <f t="shared" si="5"/>
        <v>3840</v>
      </c>
      <c r="T17" s="67">
        <f ca="1">SUM($H17:(OFFSET($H17,0,AVANCE060826!$T$2)))</f>
        <v>84240</v>
      </c>
      <c r="U17" s="903"/>
    </row>
    <row r="18" spans="1:21" ht="30" customHeight="1" x14ac:dyDescent="0.25">
      <c r="A18" s="311">
        <v>200200</v>
      </c>
      <c r="B18" s="784">
        <v>102418</v>
      </c>
      <c r="C18" s="309"/>
      <c r="D18" s="873"/>
      <c r="E18" s="873"/>
      <c r="F18" s="926"/>
      <c r="G18" s="310"/>
      <c r="H18" s="310"/>
      <c r="I18" s="310">
        <f t="shared" ref="I18:S18" si="6">VLOOKUP($A18&amp;$B18&amp;I$10,Base,9,FALSE)</f>
        <v>0</v>
      </c>
      <c r="J18" s="310">
        <f t="shared" si="6"/>
        <v>0</v>
      </c>
      <c r="K18" s="310">
        <f t="shared" si="6"/>
        <v>0</v>
      </c>
      <c r="L18" s="310">
        <f t="shared" si="6"/>
        <v>0</v>
      </c>
      <c r="M18" s="310">
        <f t="shared" si="6"/>
        <v>40599.97</v>
      </c>
      <c r="N18" s="310">
        <f t="shared" si="6"/>
        <v>8120</v>
      </c>
      <c r="O18" s="310">
        <f t="shared" si="6"/>
        <v>8120</v>
      </c>
      <c r="P18" s="310">
        <f t="shared" si="6"/>
        <v>8119.96</v>
      </c>
      <c r="Q18" s="310">
        <f t="shared" si="6"/>
        <v>0</v>
      </c>
      <c r="R18" s="310">
        <f t="shared" si="6"/>
        <v>0</v>
      </c>
      <c r="S18" s="310">
        <f t="shared" si="6"/>
        <v>0</v>
      </c>
      <c r="T18" s="67">
        <f t="shared" si="2"/>
        <v>64959.93</v>
      </c>
      <c r="U18" s="903"/>
    </row>
    <row r="19" spans="1:21" ht="30" customHeight="1" x14ac:dyDescent="0.25">
      <c r="A19" s="311">
        <v>200200</v>
      </c>
      <c r="B19" s="784">
        <v>102403</v>
      </c>
      <c r="C19" s="309" t="s">
        <v>348</v>
      </c>
      <c r="D19" s="928" t="s">
        <v>349</v>
      </c>
      <c r="E19" s="924" t="s">
        <v>350</v>
      </c>
      <c r="F19" s="925">
        <f>SUM(H19:S19)</f>
        <v>2502444</v>
      </c>
      <c r="G19" s="310">
        <f>+F19/12</f>
        <v>208537</v>
      </c>
      <c r="H19" s="310"/>
      <c r="I19" s="310">
        <f t="shared" ref="I19:S19" si="7">VLOOKUP($A19&amp;$B19&amp;I$10,Base,8,FALSE)</f>
        <v>0</v>
      </c>
      <c r="J19" s="310">
        <f t="shared" si="7"/>
        <v>0</v>
      </c>
      <c r="K19" s="310">
        <f t="shared" si="7"/>
        <v>0</v>
      </c>
      <c r="L19" s="310">
        <f t="shared" si="7"/>
        <v>834144</v>
      </c>
      <c r="M19" s="310">
        <f t="shared" si="7"/>
        <v>208536</v>
      </c>
      <c r="N19" s="310">
        <f t="shared" si="7"/>
        <v>208536</v>
      </c>
      <c r="O19" s="310">
        <f t="shared" si="7"/>
        <v>208536</v>
      </c>
      <c r="P19" s="310">
        <f t="shared" si="7"/>
        <v>208536</v>
      </c>
      <c r="Q19" s="310">
        <f t="shared" si="7"/>
        <v>208545</v>
      </c>
      <c r="R19" s="310">
        <f t="shared" si="7"/>
        <v>208537</v>
      </c>
      <c r="S19" s="310">
        <f t="shared" si="7"/>
        <v>417074</v>
      </c>
      <c r="T19" s="67">
        <f ca="1">SUM($H19:(OFFSET($H19,0,AVANCE060826!$T$2)))</f>
        <v>1876833</v>
      </c>
      <c r="U19" s="903"/>
    </row>
    <row r="20" spans="1:21" ht="30" customHeight="1" x14ac:dyDescent="0.25">
      <c r="A20" s="311">
        <v>200200</v>
      </c>
      <c r="B20" s="784">
        <v>102403</v>
      </c>
      <c r="C20" s="309"/>
      <c r="D20" s="928"/>
      <c r="E20" s="924"/>
      <c r="F20" s="926"/>
      <c r="G20" s="310"/>
      <c r="H20" s="310"/>
      <c r="I20" s="310">
        <f t="shared" ref="I20:S20" si="8">VLOOKUP($A20&amp;$B20&amp;I$10,Base,9,FALSE)</f>
        <v>0</v>
      </c>
      <c r="J20" s="310">
        <f t="shared" si="8"/>
        <v>0</v>
      </c>
      <c r="K20" s="310">
        <f t="shared" si="8"/>
        <v>0</v>
      </c>
      <c r="L20" s="310">
        <f t="shared" si="8"/>
        <v>834144</v>
      </c>
      <c r="M20" s="310">
        <f t="shared" si="8"/>
        <v>208536</v>
      </c>
      <c r="N20" s="310">
        <f t="shared" si="8"/>
        <v>208536</v>
      </c>
      <c r="O20" s="310">
        <f t="shared" si="8"/>
        <v>208536</v>
      </c>
      <c r="P20" s="310">
        <f t="shared" si="8"/>
        <v>208536</v>
      </c>
      <c r="Q20" s="310">
        <f t="shared" si="8"/>
        <v>0</v>
      </c>
      <c r="R20" s="310">
        <f t="shared" si="8"/>
        <v>0</v>
      </c>
      <c r="S20" s="310">
        <f t="shared" si="8"/>
        <v>0</v>
      </c>
      <c r="T20" s="67">
        <f t="shared" si="2"/>
        <v>1668288</v>
      </c>
      <c r="U20" s="903"/>
    </row>
    <row r="21" spans="1:21" ht="30" customHeight="1" x14ac:dyDescent="0.25">
      <c r="A21" s="311">
        <v>200200</v>
      </c>
      <c r="B21" s="784">
        <v>102419</v>
      </c>
      <c r="C21" s="309" t="s">
        <v>351</v>
      </c>
      <c r="D21" s="924" t="s">
        <v>352</v>
      </c>
      <c r="E21" s="924" t="s">
        <v>353</v>
      </c>
      <c r="F21" s="925">
        <f>SUM(H21:S21)</f>
        <v>76560</v>
      </c>
      <c r="G21" s="310">
        <f>+F21/12</f>
        <v>6380</v>
      </c>
      <c r="H21" s="310"/>
      <c r="I21" s="310">
        <f t="shared" ref="I21:S21" si="9">VLOOKUP($A21&amp;$B21&amp;I$10,Base,8,FALSE)</f>
        <v>0</v>
      </c>
      <c r="J21" s="310">
        <f t="shared" si="9"/>
        <v>0</v>
      </c>
      <c r="K21" s="310">
        <f t="shared" si="9"/>
        <v>0</v>
      </c>
      <c r="L21" s="310">
        <f t="shared" si="9"/>
        <v>19140</v>
      </c>
      <c r="M21" s="310">
        <f t="shared" si="9"/>
        <v>12760</v>
      </c>
      <c r="N21" s="310">
        <f t="shared" si="9"/>
        <v>6380</v>
      </c>
      <c r="O21" s="310">
        <f t="shared" si="9"/>
        <v>6380</v>
      </c>
      <c r="P21" s="310">
        <f t="shared" si="9"/>
        <v>6380</v>
      </c>
      <c r="Q21" s="310">
        <f t="shared" si="9"/>
        <v>6380</v>
      </c>
      <c r="R21" s="310">
        <f t="shared" si="9"/>
        <v>6380</v>
      </c>
      <c r="S21" s="310">
        <f t="shared" si="9"/>
        <v>12760</v>
      </c>
      <c r="T21" s="67">
        <f ca="1">SUM($H21:(OFFSET($H21,0,AVANCE060826!$T$2)))</f>
        <v>57420</v>
      </c>
      <c r="U21" s="903"/>
    </row>
    <row r="22" spans="1:21" ht="30" customHeight="1" x14ac:dyDescent="0.25">
      <c r="A22" s="311">
        <v>200200</v>
      </c>
      <c r="B22" s="784">
        <v>102419</v>
      </c>
      <c r="C22" s="309"/>
      <c r="D22" s="924"/>
      <c r="E22" s="924"/>
      <c r="F22" s="926"/>
      <c r="G22" s="310"/>
      <c r="H22" s="310"/>
      <c r="I22" s="310">
        <f t="shared" ref="I22:S22" si="10">VLOOKUP($A22&amp;$B22&amp;I$10,Base,9,FALSE)</f>
        <v>0</v>
      </c>
      <c r="J22" s="310">
        <f t="shared" si="10"/>
        <v>0</v>
      </c>
      <c r="K22" s="310">
        <f t="shared" si="10"/>
        <v>0</v>
      </c>
      <c r="L22" s="310">
        <f t="shared" si="10"/>
        <v>19140</v>
      </c>
      <c r="M22" s="310">
        <f t="shared" si="10"/>
        <v>12760</v>
      </c>
      <c r="N22" s="310">
        <f t="shared" si="10"/>
        <v>6380</v>
      </c>
      <c r="O22" s="310">
        <f t="shared" si="10"/>
        <v>6380</v>
      </c>
      <c r="P22" s="310">
        <f t="shared" si="10"/>
        <v>6380</v>
      </c>
      <c r="Q22" s="310">
        <f t="shared" si="10"/>
        <v>6380</v>
      </c>
      <c r="R22" s="310">
        <f t="shared" si="10"/>
        <v>0</v>
      </c>
      <c r="S22" s="310">
        <f t="shared" si="10"/>
        <v>0</v>
      </c>
      <c r="T22" s="67">
        <f t="shared" si="2"/>
        <v>57420</v>
      </c>
      <c r="U22" s="903"/>
    </row>
    <row r="23" spans="1:21" ht="30" customHeight="1" x14ac:dyDescent="0.25">
      <c r="A23" s="159">
        <v>200201</v>
      </c>
      <c r="B23" s="784">
        <v>102410</v>
      </c>
      <c r="C23" s="309" t="s">
        <v>354</v>
      </c>
      <c r="D23" s="924" t="s">
        <v>355</v>
      </c>
      <c r="E23" s="924" t="s">
        <v>356</v>
      </c>
      <c r="F23" s="925">
        <f>SUM(H23:S23)</f>
        <v>208800</v>
      </c>
      <c r="G23" s="310">
        <f>+F23/12</f>
        <v>17400</v>
      </c>
      <c r="H23" s="310"/>
      <c r="I23" s="310">
        <f t="shared" ref="I23:S23" si="11">VLOOKUP($A23&amp;$B23&amp;I$10,Base,8,FALSE)</f>
        <v>0</v>
      </c>
      <c r="J23" s="310">
        <f t="shared" si="11"/>
        <v>0</v>
      </c>
      <c r="K23" s="310">
        <f t="shared" si="11"/>
        <v>52199.95</v>
      </c>
      <c r="L23" s="310">
        <f t="shared" si="11"/>
        <v>0</v>
      </c>
      <c r="M23" s="310">
        <f t="shared" si="11"/>
        <v>34799.980000000003</v>
      </c>
      <c r="N23" s="310">
        <f t="shared" si="11"/>
        <v>0</v>
      </c>
      <c r="O23" s="310">
        <f t="shared" si="11"/>
        <v>17399.990000000002</v>
      </c>
      <c r="P23" s="310">
        <f t="shared" si="11"/>
        <v>17399.990000000002</v>
      </c>
      <c r="Q23" s="310">
        <f t="shared" si="11"/>
        <v>34800.089999999997</v>
      </c>
      <c r="R23" s="310">
        <f t="shared" si="11"/>
        <v>17400</v>
      </c>
      <c r="S23" s="310">
        <f t="shared" si="11"/>
        <v>34800</v>
      </c>
      <c r="T23" s="67">
        <f ca="1">SUM($H23:(OFFSET($H23,0,AVANCE060826!$T$2)))</f>
        <v>156600</v>
      </c>
      <c r="U23" s="903"/>
    </row>
    <row r="24" spans="1:21" ht="30" customHeight="1" x14ac:dyDescent="0.25">
      <c r="A24" s="159">
        <v>200201</v>
      </c>
      <c r="B24" s="784">
        <v>102410</v>
      </c>
      <c r="C24" s="309"/>
      <c r="D24" s="924"/>
      <c r="E24" s="924"/>
      <c r="F24" s="926"/>
      <c r="G24" s="310"/>
      <c r="H24" s="310"/>
      <c r="I24" s="310">
        <f t="shared" ref="I24:S24" si="12">VLOOKUP($A24&amp;$B24&amp;I$10,Base,9,FALSE)</f>
        <v>0</v>
      </c>
      <c r="J24" s="310">
        <f t="shared" si="12"/>
        <v>0</v>
      </c>
      <c r="K24" s="310">
        <f t="shared" si="12"/>
        <v>52199.95</v>
      </c>
      <c r="L24" s="310">
        <f t="shared" si="12"/>
        <v>0</v>
      </c>
      <c r="M24" s="310">
        <f t="shared" si="12"/>
        <v>34799.980000000003</v>
      </c>
      <c r="N24" s="310">
        <f t="shared" si="12"/>
        <v>0</v>
      </c>
      <c r="O24" s="310">
        <f t="shared" si="12"/>
        <v>17399.990000000002</v>
      </c>
      <c r="P24" s="310">
        <f t="shared" si="12"/>
        <v>17399.990000000002</v>
      </c>
      <c r="Q24" s="310">
        <f t="shared" si="12"/>
        <v>0</v>
      </c>
      <c r="R24" s="310">
        <f t="shared" si="12"/>
        <v>0</v>
      </c>
      <c r="S24" s="310">
        <f t="shared" si="12"/>
        <v>0</v>
      </c>
      <c r="T24" s="67">
        <f t="shared" si="2"/>
        <v>121799.91</v>
      </c>
      <c r="U24" s="903"/>
    </row>
    <row r="25" spans="1:21" ht="30" customHeight="1" x14ac:dyDescent="0.25">
      <c r="A25" s="311">
        <v>200201</v>
      </c>
      <c r="B25" s="785">
        <v>100401</v>
      </c>
      <c r="C25" s="309" t="s">
        <v>357</v>
      </c>
      <c r="D25" s="924" t="s">
        <v>358</v>
      </c>
      <c r="E25" s="924" t="s">
        <v>359</v>
      </c>
      <c r="F25" s="929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67">
        <f t="shared" si="2"/>
        <v>0</v>
      </c>
      <c r="U25" s="903"/>
    </row>
    <row r="26" spans="1:21" ht="30" customHeight="1" x14ac:dyDescent="0.25">
      <c r="A26" s="311">
        <v>200201</v>
      </c>
      <c r="B26" s="785">
        <v>100401</v>
      </c>
      <c r="C26" s="309"/>
      <c r="D26" s="924"/>
      <c r="E26" s="924"/>
      <c r="F26" s="929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67">
        <f t="shared" si="2"/>
        <v>0</v>
      </c>
      <c r="U26" s="903"/>
    </row>
    <row r="27" spans="1:21" ht="30" customHeight="1" x14ac:dyDescent="0.25">
      <c r="A27" s="311">
        <v>380200</v>
      </c>
      <c r="B27" s="784">
        <v>105902</v>
      </c>
      <c r="C27" s="309" t="s">
        <v>360</v>
      </c>
      <c r="D27" s="924" t="s">
        <v>361</v>
      </c>
      <c r="E27" s="924" t="s">
        <v>362</v>
      </c>
      <c r="F27" s="925">
        <f>SUM(H27:S27)</f>
        <v>487212</v>
      </c>
      <c r="G27" s="310">
        <f>+F27/12</f>
        <v>40601</v>
      </c>
      <c r="H27" s="310"/>
      <c r="I27" s="310">
        <f t="shared" ref="I27:S27" si="13">VLOOKUP($A27&amp;$B27&amp;I$10,Base,8,FALSE)</f>
        <v>0</v>
      </c>
      <c r="J27" s="310">
        <f t="shared" si="13"/>
        <v>0</v>
      </c>
      <c r="K27" s="310">
        <f t="shared" si="13"/>
        <v>0</v>
      </c>
      <c r="L27" s="310">
        <f t="shared" si="13"/>
        <v>162399.89000000001</v>
      </c>
      <c r="M27" s="310">
        <f t="shared" si="13"/>
        <v>40599.97</v>
      </c>
      <c r="N27" s="310">
        <f t="shared" si="13"/>
        <v>40599.97</v>
      </c>
      <c r="O27" s="310">
        <f t="shared" si="13"/>
        <v>40599.97</v>
      </c>
      <c r="P27" s="310">
        <f t="shared" si="13"/>
        <v>40599.97</v>
      </c>
      <c r="Q27" s="310">
        <f t="shared" si="13"/>
        <v>40609.230000000003</v>
      </c>
      <c r="R27" s="310">
        <f t="shared" si="13"/>
        <v>40601</v>
      </c>
      <c r="S27" s="310">
        <f t="shared" si="13"/>
        <v>81202</v>
      </c>
      <c r="T27" s="67">
        <f ca="1">SUM($H27:(OFFSET($H27,0,AVANCE060826!$T$2)))</f>
        <v>365409</v>
      </c>
      <c r="U27" s="903"/>
    </row>
    <row r="28" spans="1:21" ht="30" customHeight="1" x14ac:dyDescent="0.25">
      <c r="A28" s="311">
        <v>380200</v>
      </c>
      <c r="B28" s="784">
        <v>105902</v>
      </c>
      <c r="C28" s="309"/>
      <c r="D28" s="924"/>
      <c r="E28" s="924"/>
      <c r="F28" s="926"/>
      <c r="G28" s="310"/>
      <c r="H28" s="310"/>
      <c r="I28" s="310">
        <f t="shared" ref="I28:S28" si="14">VLOOKUP($A28&amp;$B28&amp;I$10,Base,9,FALSE)</f>
        <v>0</v>
      </c>
      <c r="J28" s="310">
        <f t="shared" si="14"/>
        <v>0</v>
      </c>
      <c r="K28" s="310">
        <f t="shared" si="14"/>
        <v>0</v>
      </c>
      <c r="L28" s="310">
        <f t="shared" si="14"/>
        <v>162399.89000000001</v>
      </c>
      <c r="M28" s="310">
        <f t="shared" si="14"/>
        <v>40599.97</v>
      </c>
      <c r="N28" s="310">
        <f t="shared" si="14"/>
        <v>40599.97</v>
      </c>
      <c r="O28" s="310">
        <f t="shared" si="14"/>
        <v>40599.97</v>
      </c>
      <c r="P28" s="310">
        <f t="shared" si="14"/>
        <v>40599.97</v>
      </c>
      <c r="Q28" s="310">
        <f t="shared" si="14"/>
        <v>40599.97</v>
      </c>
      <c r="R28" s="310">
        <f t="shared" si="14"/>
        <v>0</v>
      </c>
      <c r="S28" s="310">
        <f t="shared" si="14"/>
        <v>0</v>
      </c>
      <c r="T28" s="67">
        <f t="shared" si="2"/>
        <v>365399.74</v>
      </c>
      <c r="U28" s="903"/>
    </row>
    <row r="29" spans="1:21" ht="30" customHeight="1" x14ac:dyDescent="0.25">
      <c r="A29" s="735">
        <v>50100</v>
      </c>
      <c r="B29" s="784">
        <v>109001</v>
      </c>
      <c r="C29" s="309" t="s">
        <v>348</v>
      </c>
      <c r="D29" s="924" t="s">
        <v>363</v>
      </c>
      <c r="E29" s="924" t="s">
        <v>364</v>
      </c>
      <c r="F29" s="925">
        <f>SUM(H29:S29)</f>
        <v>3758400</v>
      </c>
      <c r="G29" s="310">
        <f>+F29/12</f>
        <v>313200</v>
      </c>
      <c r="H29" s="310"/>
      <c r="I29" s="310">
        <f t="shared" ref="I29:S29" si="15">VLOOKUP($A29&amp;$B29&amp;I$10,Base,8,FALSE)</f>
        <v>0</v>
      </c>
      <c r="J29" s="310">
        <f t="shared" si="15"/>
        <v>0</v>
      </c>
      <c r="K29" s="310">
        <f t="shared" si="15"/>
        <v>939600</v>
      </c>
      <c r="L29" s="310">
        <f t="shared" si="15"/>
        <v>313200</v>
      </c>
      <c r="M29" s="310">
        <f t="shared" si="15"/>
        <v>313200</v>
      </c>
      <c r="N29" s="310">
        <f t="shared" si="15"/>
        <v>313200</v>
      </c>
      <c r="O29" s="310">
        <f t="shared" si="15"/>
        <v>313200</v>
      </c>
      <c r="P29" s="310">
        <f t="shared" si="15"/>
        <v>313200</v>
      </c>
      <c r="Q29" s="310">
        <f t="shared" si="15"/>
        <v>346608</v>
      </c>
      <c r="R29" s="310">
        <f t="shared" si="15"/>
        <v>316912</v>
      </c>
      <c r="S29" s="310">
        <f t="shared" si="15"/>
        <v>589280</v>
      </c>
      <c r="T29" s="67">
        <f ca="1">SUM($H29:(OFFSET($H29,0,AVANCE060826!$T$2)))</f>
        <v>2852208</v>
      </c>
      <c r="U29" s="903"/>
    </row>
    <row r="30" spans="1:21" ht="30" customHeight="1" x14ac:dyDescent="0.25">
      <c r="A30" s="735">
        <v>50100</v>
      </c>
      <c r="B30" s="784">
        <v>109001</v>
      </c>
      <c r="C30" s="309"/>
      <c r="D30" s="924"/>
      <c r="E30" s="924"/>
      <c r="F30" s="926"/>
      <c r="G30" s="310"/>
      <c r="H30" s="310"/>
      <c r="I30" s="310">
        <f t="shared" ref="I30:S30" si="16">VLOOKUP($A30&amp;$B30&amp;I$10,Base,9,FALSE)</f>
        <v>0</v>
      </c>
      <c r="J30" s="310">
        <f t="shared" si="16"/>
        <v>0</v>
      </c>
      <c r="K30" s="310">
        <f t="shared" si="16"/>
        <v>939600</v>
      </c>
      <c r="L30" s="310">
        <f t="shared" si="16"/>
        <v>313200</v>
      </c>
      <c r="M30" s="310">
        <f t="shared" si="16"/>
        <v>313200</v>
      </c>
      <c r="N30" s="310">
        <f t="shared" si="16"/>
        <v>313200</v>
      </c>
      <c r="O30" s="310">
        <f t="shared" si="16"/>
        <v>313200</v>
      </c>
      <c r="P30" s="310">
        <f t="shared" si="16"/>
        <v>313200</v>
      </c>
      <c r="Q30" s="310">
        <f t="shared" si="16"/>
        <v>0</v>
      </c>
      <c r="R30" s="310">
        <f t="shared" si="16"/>
        <v>0</v>
      </c>
      <c r="S30" s="310">
        <f t="shared" si="16"/>
        <v>0</v>
      </c>
      <c r="T30" s="67">
        <f t="shared" si="2"/>
        <v>2505600</v>
      </c>
      <c r="U30" s="903"/>
    </row>
    <row r="31" spans="1:21" ht="30" customHeight="1" x14ac:dyDescent="0.25">
      <c r="A31" s="311">
        <v>900110</v>
      </c>
      <c r="B31" s="785">
        <v>109102</v>
      </c>
      <c r="C31" s="309" t="s">
        <v>360</v>
      </c>
      <c r="D31" s="924" t="s">
        <v>365</v>
      </c>
      <c r="E31" s="930" t="s">
        <v>190</v>
      </c>
      <c r="F31" s="929"/>
      <c r="G31" s="310">
        <f>+F31/12</f>
        <v>0</v>
      </c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67">
        <f t="shared" si="2"/>
        <v>0</v>
      </c>
      <c r="U31" s="903"/>
    </row>
    <row r="32" spans="1:21" ht="30" customHeight="1" x14ac:dyDescent="0.25">
      <c r="A32" s="311">
        <v>900110</v>
      </c>
      <c r="B32" s="785">
        <v>109102</v>
      </c>
      <c r="C32" s="309"/>
      <c r="D32" s="924"/>
      <c r="E32" s="930"/>
      <c r="F32" s="929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67">
        <f t="shared" si="2"/>
        <v>0</v>
      </c>
      <c r="U32" s="903"/>
    </row>
    <row r="33" spans="1:21" ht="30" customHeight="1" x14ac:dyDescent="0.25">
      <c r="A33" s="311">
        <v>900110</v>
      </c>
      <c r="B33" s="786">
        <v>109101</v>
      </c>
      <c r="C33" s="309" t="s">
        <v>348</v>
      </c>
      <c r="D33" s="924" t="s">
        <v>366</v>
      </c>
      <c r="E33" s="924" t="s">
        <v>190</v>
      </c>
      <c r="F33" s="925">
        <f>SUM(H33:S33)</f>
        <v>3488491.2</v>
      </c>
      <c r="G33" s="310">
        <v>290707.61</v>
      </c>
      <c r="H33" s="310"/>
      <c r="I33" s="310">
        <f t="shared" ref="I33:S33" si="17">VLOOKUP($A33&amp;$B33&amp;I$10,Base,8,FALSE)</f>
        <v>0</v>
      </c>
      <c r="J33" s="310">
        <f t="shared" si="17"/>
        <v>0</v>
      </c>
      <c r="K33" s="310">
        <f t="shared" si="17"/>
        <v>872122.81</v>
      </c>
      <c r="L33" s="310">
        <f t="shared" si="17"/>
        <v>290707.61</v>
      </c>
      <c r="M33" s="310">
        <f t="shared" si="17"/>
        <v>0</v>
      </c>
      <c r="N33" s="310">
        <f t="shared" si="17"/>
        <v>581415.22</v>
      </c>
      <c r="O33" s="310">
        <f t="shared" si="17"/>
        <v>290707.61</v>
      </c>
      <c r="P33" s="310">
        <f t="shared" si="17"/>
        <v>290707.61</v>
      </c>
      <c r="Q33" s="310">
        <f t="shared" si="17"/>
        <v>291989.14</v>
      </c>
      <c r="R33" s="310">
        <f t="shared" si="17"/>
        <v>290850</v>
      </c>
      <c r="S33" s="310">
        <f t="shared" si="17"/>
        <v>579991.19999999995</v>
      </c>
      <c r="T33" s="67">
        <f ca="1">SUM($H33:(OFFSET($H33,0,AVANCE060826!$T$2)))</f>
        <v>2617650</v>
      </c>
      <c r="U33" s="903"/>
    </row>
    <row r="34" spans="1:21" ht="30" customHeight="1" x14ac:dyDescent="0.25">
      <c r="A34" s="311">
        <v>900110</v>
      </c>
      <c r="B34" s="786">
        <v>109101</v>
      </c>
      <c r="C34" s="314"/>
      <c r="D34" s="924"/>
      <c r="E34" s="924"/>
      <c r="F34" s="926"/>
      <c r="G34" s="310"/>
      <c r="H34" s="310"/>
      <c r="I34" s="310">
        <f t="shared" ref="I34:S34" si="18">VLOOKUP($A34&amp;$B34&amp;I$10,Base,9,FALSE)</f>
        <v>0</v>
      </c>
      <c r="J34" s="310">
        <f t="shared" si="18"/>
        <v>0</v>
      </c>
      <c r="K34" s="310">
        <f t="shared" si="18"/>
        <v>872122.81</v>
      </c>
      <c r="L34" s="310">
        <f t="shared" si="18"/>
        <v>290707.61</v>
      </c>
      <c r="M34" s="310">
        <f t="shared" si="18"/>
        <v>0</v>
      </c>
      <c r="N34" s="310">
        <f t="shared" si="18"/>
        <v>581415.22</v>
      </c>
      <c r="O34" s="310">
        <f t="shared" si="18"/>
        <v>290707.61</v>
      </c>
      <c r="P34" s="310">
        <f t="shared" si="18"/>
        <v>290707.61</v>
      </c>
      <c r="Q34" s="310">
        <f t="shared" si="18"/>
        <v>290707.61</v>
      </c>
      <c r="R34" s="310">
        <f t="shared" si="18"/>
        <v>0</v>
      </c>
      <c r="S34" s="310">
        <f t="shared" si="18"/>
        <v>0</v>
      </c>
      <c r="T34" s="67">
        <f t="shared" si="2"/>
        <v>2616368.4699999997</v>
      </c>
      <c r="U34" s="903"/>
    </row>
    <row r="35" spans="1:21" ht="30" customHeight="1" x14ac:dyDescent="0.25">
      <c r="A35" s="311">
        <v>140100</v>
      </c>
      <c r="B35" s="785">
        <v>108102</v>
      </c>
      <c r="C35" s="314" t="s">
        <v>360</v>
      </c>
      <c r="D35" s="924" t="s">
        <v>367</v>
      </c>
      <c r="E35" s="930" t="s">
        <v>368</v>
      </c>
      <c r="F35" s="929"/>
      <c r="G35" s="310">
        <f>+F35/12</f>
        <v>0</v>
      </c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67">
        <f t="shared" si="2"/>
        <v>0</v>
      </c>
      <c r="U35" s="903"/>
    </row>
    <row r="36" spans="1:21" ht="30" customHeight="1" thickBot="1" x14ac:dyDescent="0.3">
      <c r="A36" s="311">
        <v>140100</v>
      </c>
      <c r="B36" s="785">
        <v>108102</v>
      </c>
      <c r="C36" s="314"/>
      <c r="D36" s="924"/>
      <c r="E36" s="930"/>
      <c r="F36" s="929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67">
        <f t="shared" si="2"/>
        <v>0</v>
      </c>
      <c r="U36" s="903"/>
    </row>
    <row r="37" spans="1:21" ht="30" customHeight="1" thickTop="1" thickBot="1" x14ac:dyDescent="0.3">
      <c r="A37" s="308">
        <v>150900</v>
      </c>
      <c r="B37" s="783">
        <v>108002</v>
      </c>
      <c r="C37" s="314"/>
      <c r="D37" s="924" t="s">
        <v>369</v>
      </c>
      <c r="E37" s="924" t="s">
        <v>370</v>
      </c>
      <c r="F37" s="925">
        <f>SUM(H37:S37)</f>
        <v>5199235.9999999991</v>
      </c>
      <c r="G37" s="310">
        <v>374158.26</v>
      </c>
      <c r="H37" s="310"/>
      <c r="I37" s="310">
        <f t="shared" ref="I37:S37" si="19">VLOOKUP($A37&amp;$B37&amp;I$10,Base,8,FALSE)</f>
        <v>0</v>
      </c>
      <c r="J37" s="310">
        <f t="shared" si="19"/>
        <v>0</v>
      </c>
      <c r="K37" s="310">
        <f t="shared" si="19"/>
        <v>0</v>
      </c>
      <c r="L37" s="310">
        <f t="shared" si="19"/>
        <v>1496633.16</v>
      </c>
      <c r="M37" s="310">
        <f t="shared" si="19"/>
        <v>462823.76</v>
      </c>
      <c r="N37" s="310">
        <f t="shared" si="19"/>
        <v>462823.76</v>
      </c>
      <c r="O37" s="310">
        <f t="shared" si="19"/>
        <v>462823.76</v>
      </c>
      <c r="P37" s="310">
        <f t="shared" si="19"/>
        <v>462823.76</v>
      </c>
      <c r="Q37" s="310">
        <f t="shared" si="19"/>
        <v>580485.80000000005</v>
      </c>
      <c r="R37" s="310">
        <f t="shared" si="19"/>
        <v>475898</v>
      </c>
      <c r="S37" s="310">
        <f t="shared" si="19"/>
        <v>794924</v>
      </c>
      <c r="T37" s="67">
        <f ca="1">SUM($H37:(OFFSET($H37,0,AVANCE060826!$T$2)))</f>
        <v>3928413.9999999991</v>
      </c>
      <c r="U37" s="903"/>
    </row>
    <row r="38" spans="1:21" ht="30" customHeight="1" thickTop="1" thickBot="1" x14ac:dyDescent="0.3">
      <c r="A38" s="308">
        <v>150900</v>
      </c>
      <c r="B38" s="783">
        <v>108002</v>
      </c>
      <c r="C38" s="315"/>
      <c r="D38" s="924"/>
      <c r="E38" s="924"/>
      <c r="F38" s="926"/>
      <c r="G38" s="310"/>
      <c r="H38" s="310"/>
      <c r="I38" s="310">
        <f t="shared" ref="I38:S38" si="20">VLOOKUP($A38&amp;$B38&amp;I$10,Base,9,FALSE)</f>
        <v>0</v>
      </c>
      <c r="J38" s="310">
        <f t="shared" si="20"/>
        <v>0</v>
      </c>
      <c r="K38" s="310">
        <f t="shared" si="20"/>
        <v>0</v>
      </c>
      <c r="L38" s="310">
        <f t="shared" si="20"/>
        <v>1496633.16</v>
      </c>
      <c r="M38" s="310">
        <f t="shared" si="20"/>
        <v>462823.76</v>
      </c>
      <c r="N38" s="310">
        <f t="shared" si="20"/>
        <v>462823.76</v>
      </c>
      <c r="O38" s="310">
        <f t="shared" si="20"/>
        <v>462823.76</v>
      </c>
      <c r="P38" s="310">
        <f t="shared" si="20"/>
        <v>462823.76</v>
      </c>
      <c r="Q38" s="310">
        <f t="shared" si="20"/>
        <v>462823.76</v>
      </c>
      <c r="R38" s="310">
        <f t="shared" si="20"/>
        <v>0</v>
      </c>
      <c r="S38" s="310">
        <f t="shared" si="20"/>
        <v>0</v>
      </c>
      <c r="T38" s="67">
        <f t="shared" si="2"/>
        <v>3810751.959999999</v>
      </c>
      <c r="U38" s="903"/>
    </row>
    <row r="39" spans="1:21" ht="30" customHeight="1" thickTop="1" thickBot="1" x14ac:dyDescent="0.3">
      <c r="A39" s="308">
        <v>150904</v>
      </c>
      <c r="B39" s="783">
        <v>108102</v>
      </c>
      <c r="C39" s="314"/>
      <c r="D39" s="924" t="s">
        <v>371</v>
      </c>
      <c r="E39" s="924" t="s">
        <v>372</v>
      </c>
      <c r="F39" s="925">
        <f>SUM(H39:S39)</f>
        <v>1461705</v>
      </c>
      <c r="G39" s="310">
        <v>121808.75</v>
      </c>
      <c r="H39" s="310"/>
      <c r="I39" s="310">
        <f t="shared" ref="I39:S39" si="21">VLOOKUP($A39&amp;$B39&amp;I$10,Base,8,FALSE)</f>
        <v>0</v>
      </c>
      <c r="J39" s="310">
        <f t="shared" si="21"/>
        <v>0</v>
      </c>
      <c r="K39" s="310">
        <f t="shared" si="21"/>
        <v>0</v>
      </c>
      <c r="L39" s="310">
        <f t="shared" si="21"/>
        <v>487234.94</v>
      </c>
      <c r="M39" s="310">
        <f t="shared" si="21"/>
        <v>121808.73</v>
      </c>
      <c r="N39" s="310">
        <f t="shared" si="21"/>
        <v>121808.73</v>
      </c>
      <c r="O39" s="310">
        <f t="shared" si="21"/>
        <v>121808.73</v>
      </c>
      <c r="P39" s="310">
        <f t="shared" si="21"/>
        <v>121808.73</v>
      </c>
      <c r="Q39" s="310">
        <f t="shared" si="21"/>
        <v>147074.14000000001</v>
      </c>
      <c r="R39" s="310">
        <f t="shared" si="21"/>
        <v>124616</v>
      </c>
      <c r="S39" s="310">
        <f t="shared" si="21"/>
        <v>215545</v>
      </c>
      <c r="T39" s="67">
        <f ca="1">SUM($H39:(OFFSET($H39,0,AVANCE060826!$T$2)))</f>
        <v>1121544</v>
      </c>
      <c r="U39" s="235"/>
    </row>
    <row r="40" spans="1:21" ht="50.25" customHeight="1" thickTop="1" thickBot="1" x14ac:dyDescent="0.3">
      <c r="A40" s="317">
        <v>150904</v>
      </c>
      <c r="B40" s="791">
        <v>108102</v>
      </c>
      <c r="C40" s="315"/>
      <c r="D40" s="924"/>
      <c r="E40" s="924"/>
      <c r="F40" s="926"/>
      <c r="G40" s="310"/>
      <c r="H40" s="310"/>
      <c r="I40" s="310">
        <f t="shared" ref="I40:S40" si="22">VLOOKUP($A40&amp;$B40&amp;I$10,Base,9,FALSE)</f>
        <v>0</v>
      </c>
      <c r="J40" s="310">
        <f t="shared" si="22"/>
        <v>0</v>
      </c>
      <c r="K40" s="310">
        <f t="shared" si="22"/>
        <v>0</v>
      </c>
      <c r="L40" s="310">
        <f t="shared" si="22"/>
        <v>487234.94</v>
      </c>
      <c r="M40" s="310">
        <f t="shared" si="22"/>
        <v>121808.73</v>
      </c>
      <c r="N40" s="310">
        <f t="shared" si="22"/>
        <v>121808.73</v>
      </c>
      <c r="O40" s="310">
        <f t="shared" si="22"/>
        <v>121808.73</v>
      </c>
      <c r="P40" s="310">
        <f t="shared" si="22"/>
        <v>121808.73</v>
      </c>
      <c r="Q40" s="310">
        <f t="shared" si="22"/>
        <v>121808.73</v>
      </c>
      <c r="R40" s="310">
        <f t="shared" si="22"/>
        <v>0</v>
      </c>
      <c r="S40" s="310">
        <f t="shared" si="22"/>
        <v>0</v>
      </c>
      <c r="T40" s="67">
        <f>SUM(H40:S40)</f>
        <v>1096278.5900000001</v>
      </c>
      <c r="U40" s="235"/>
    </row>
    <row r="41" spans="1:21" ht="30" customHeight="1" thickTop="1" thickBot="1" x14ac:dyDescent="0.3">
      <c r="A41" s="308">
        <v>150904</v>
      </c>
      <c r="B41" s="783">
        <v>108104</v>
      </c>
      <c r="C41" s="314"/>
      <c r="D41" s="924" t="s">
        <v>373</v>
      </c>
      <c r="E41" s="924" t="s">
        <v>374</v>
      </c>
      <c r="F41" s="925">
        <f>SUM(H41:S41)</f>
        <v>1350239.9999999998</v>
      </c>
      <c r="G41" s="310">
        <f>+F41/12</f>
        <v>112519.99999999999</v>
      </c>
      <c r="H41" s="310"/>
      <c r="I41" s="310">
        <f t="shared" ref="I41:S41" si="23">VLOOKUP($A41&amp;$B41&amp;I$10,Base,8,FALSE)</f>
        <v>0</v>
      </c>
      <c r="J41" s="310">
        <f t="shared" si="23"/>
        <v>0</v>
      </c>
      <c r="K41" s="310">
        <f t="shared" si="23"/>
        <v>0</v>
      </c>
      <c r="L41" s="310">
        <f t="shared" si="23"/>
        <v>450079.76</v>
      </c>
      <c r="M41" s="310">
        <f t="shared" si="23"/>
        <v>112519.94</v>
      </c>
      <c r="N41" s="310">
        <f t="shared" si="23"/>
        <v>112519.94</v>
      </c>
      <c r="O41" s="310">
        <f t="shared" si="23"/>
        <v>112519.94</v>
      </c>
      <c r="P41" s="310">
        <f t="shared" si="23"/>
        <v>112519.94</v>
      </c>
      <c r="Q41" s="310">
        <f t="shared" si="23"/>
        <v>112520.48</v>
      </c>
      <c r="R41" s="310">
        <f t="shared" si="23"/>
        <v>112520</v>
      </c>
      <c r="S41" s="310">
        <f t="shared" si="23"/>
        <v>225040</v>
      </c>
      <c r="T41" s="67">
        <f ca="1">SUM($H41:(OFFSET($H41,0,AVANCE060826!$T$2)))</f>
        <v>1012679.9999999998</v>
      </c>
      <c r="U41" s="903"/>
    </row>
    <row r="42" spans="1:21" ht="38.25" customHeight="1" thickTop="1" x14ac:dyDescent="0.25">
      <c r="A42" s="317">
        <v>150904</v>
      </c>
      <c r="B42" s="783">
        <v>108104</v>
      </c>
      <c r="C42" s="315"/>
      <c r="D42" s="924"/>
      <c r="E42" s="924"/>
      <c r="F42" s="926"/>
      <c r="G42" s="310"/>
      <c r="H42" s="310"/>
      <c r="I42" s="310">
        <f t="shared" ref="I42:S42" si="24">VLOOKUP($A42&amp;$B42&amp;I$10,Base,9,FALSE)</f>
        <v>0</v>
      </c>
      <c r="J42" s="310">
        <f t="shared" si="24"/>
        <v>0</v>
      </c>
      <c r="K42" s="310">
        <f t="shared" si="24"/>
        <v>0</v>
      </c>
      <c r="L42" s="310">
        <f t="shared" si="24"/>
        <v>450079.76</v>
      </c>
      <c r="M42" s="310">
        <f t="shared" si="24"/>
        <v>112519.94</v>
      </c>
      <c r="N42" s="310">
        <f t="shared" si="24"/>
        <v>112519.94</v>
      </c>
      <c r="O42" s="310">
        <f t="shared" si="24"/>
        <v>112519.94</v>
      </c>
      <c r="P42" s="310">
        <f t="shared" si="24"/>
        <v>112519.94</v>
      </c>
      <c r="Q42" s="310">
        <f t="shared" si="24"/>
        <v>112519.94</v>
      </c>
      <c r="R42" s="310">
        <f t="shared" si="24"/>
        <v>0</v>
      </c>
      <c r="S42" s="310">
        <f t="shared" si="24"/>
        <v>0</v>
      </c>
      <c r="T42" s="67">
        <f t="shared" si="2"/>
        <v>1012679.4599999997</v>
      </c>
      <c r="U42" s="903"/>
    </row>
    <row r="43" spans="1:21" ht="25.5" customHeight="1" x14ac:dyDescent="0.25">
      <c r="A43" s="40">
        <v>12</v>
      </c>
      <c r="B43" s="4"/>
      <c r="C43" s="24">
        <f>COUNT(#REF!)</f>
        <v>0</v>
      </c>
      <c r="E43" s="6"/>
      <c r="F43" s="176">
        <f>SUM(F13:F42)</f>
        <v>18811488.199999999</v>
      </c>
      <c r="G43" s="176">
        <f>SUM(G13:G42)</f>
        <v>1508512.62</v>
      </c>
      <c r="H43" s="176">
        <f>+H37+H35+H33+H31+H29+H27+H25+H23+H21+H19+H17+H15+H13+H41+H39</f>
        <v>0</v>
      </c>
      <c r="I43" s="176">
        <f t="shared" ref="I43:T44" si="25">+I37+I35+I33+I31+I29+I27+I25+I23+I21+I19+I17+I15+I13+I41+I39</f>
        <v>0</v>
      </c>
      <c r="J43" s="176">
        <f t="shared" si="25"/>
        <v>0</v>
      </c>
      <c r="K43" s="176">
        <f t="shared" si="25"/>
        <v>1863922.76</v>
      </c>
      <c r="L43" s="176">
        <f t="shared" si="25"/>
        <v>4113859.31</v>
      </c>
      <c r="M43" s="176">
        <f t="shared" si="25"/>
        <v>1354608.3499999999</v>
      </c>
      <c r="N43" s="176">
        <f t="shared" si="25"/>
        <v>1878602.5599999998</v>
      </c>
      <c r="O43" s="176">
        <f t="shared" si="25"/>
        <v>1590214.89</v>
      </c>
      <c r="P43" s="176">
        <f t="shared" si="25"/>
        <v>1597174.8499999999</v>
      </c>
      <c r="Q43" s="176">
        <f t="shared" si="25"/>
        <v>1819218.2800000003</v>
      </c>
      <c r="R43" s="176">
        <f t="shared" si="25"/>
        <v>1619141</v>
      </c>
      <c r="S43" s="176">
        <f t="shared" si="25"/>
        <v>2974746.2</v>
      </c>
      <c r="T43" s="176">
        <f t="shared" ca="1" si="25"/>
        <v>14217601</v>
      </c>
    </row>
    <row r="44" spans="1:21" ht="31.5" customHeight="1" x14ac:dyDescent="0.25">
      <c r="E44" s="318"/>
      <c r="F44" s="3"/>
      <c r="G44" s="238"/>
      <c r="H44" s="176">
        <f t="shared" ref="H44:S44" si="26">+H38+H36+H34+H32+H30+H28+H26+H24+H22+H20+H18+H16+H14+H42+H40</f>
        <v>0</v>
      </c>
      <c r="I44" s="176">
        <f t="shared" si="26"/>
        <v>0</v>
      </c>
      <c r="J44" s="176">
        <f t="shared" si="26"/>
        <v>0</v>
      </c>
      <c r="K44" s="176">
        <f t="shared" si="26"/>
        <v>1863922.76</v>
      </c>
      <c r="L44" s="176">
        <f t="shared" si="26"/>
        <v>4113859.31</v>
      </c>
      <c r="M44" s="176">
        <f t="shared" si="26"/>
        <v>1354608.3499999999</v>
      </c>
      <c r="N44" s="176">
        <f t="shared" si="26"/>
        <v>1878602.5599999998</v>
      </c>
      <c r="O44" s="176">
        <f t="shared" si="26"/>
        <v>1590214.89</v>
      </c>
      <c r="P44" s="176">
        <f t="shared" si="26"/>
        <v>1597174.8499999999</v>
      </c>
      <c r="Q44" s="176">
        <f t="shared" si="26"/>
        <v>1049918.8999999999</v>
      </c>
      <c r="R44" s="176">
        <f t="shared" si="26"/>
        <v>0</v>
      </c>
      <c r="S44" s="176">
        <f t="shared" si="26"/>
        <v>0</v>
      </c>
      <c r="T44" s="176">
        <f t="shared" si="25"/>
        <v>13448301.619999999</v>
      </c>
    </row>
    <row r="45" spans="1:21" ht="31.5" customHeight="1" x14ac:dyDescent="0.25">
      <c r="F45" s="9"/>
      <c r="T45" s="319"/>
    </row>
    <row r="46" spans="1:21" x14ac:dyDescent="0.25">
      <c r="T46" s="307"/>
    </row>
    <row r="47" spans="1:21" x14ac:dyDescent="0.25">
      <c r="T47" s="307"/>
    </row>
    <row r="55" spans="21:21" x14ac:dyDescent="0.25">
      <c r="U55" s="5"/>
    </row>
  </sheetData>
  <autoFilter ref="B12:B46"/>
  <mergeCells count="78">
    <mergeCell ref="U41:U42"/>
    <mergeCell ref="D41:D42"/>
    <mergeCell ref="E41:E42"/>
    <mergeCell ref="F41:F42"/>
    <mergeCell ref="U37:U38"/>
    <mergeCell ref="D39:D40"/>
    <mergeCell ref="E39:E40"/>
    <mergeCell ref="F39:F40"/>
    <mergeCell ref="D37:D38"/>
    <mergeCell ref="E37:E38"/>
    <mergeCell ref="F37:F38"/>
    <mergeCell ref="U33:U34"/>
    <mergeCell ref="D35:D36"/>
    <mergeCell ref="E35:E36"/>
    <mergeCell ref="F35:F36"/>
    <mergeCell ref="U35:U36"/>
    <mergeCell ref="D33:D34"/>
    <mergeCell ref="E33:E34"/>
    <mergeCell ref="F33:F34"/>
    <mergeCell ref="U29:U30"/>
    <mergeCell ref="D31:D32"/>
    <mergeCell ref="E31:E32"/>
    <mergeCell ref="F31:F32"/>
    <mergeCell ref="U31:U32"/>
    <mergeCell ref="D29:D30"/>
    <mergeCell ref="E29:E30"/>
    <mergeCell ref="F29:F30"/>
    <mergeCell ref="U25:U26"/>
    <mergeCell ref="D27:D28"/>
    <mergeCell ref="E27:E28"/>
    <mergeCell ref="F27:F28"/>
    <mergeCell ref="U27:U28"/>
    <mergeCell ref="D25:D26"/>
    <mergeCell ref="E25:E26"/>
    <mergeCell ref="F25:F26"/>
    <mergeCell ref="U21:U22"/>
    <mergeCell ref="D23:D24"/>
    <mergeCell ref="E23:E24"/>
    <mergeCell ref="F23:F24"/>
    <mergeCell ref="U23:U24"/>
    <mergeCell ref="D21:D22"/>
    <mergeCell ref="E21:E22"/>
    <mergeCell ref="F21:F22"/>
    <mergeCell ref="U17:U18"/>
    <mergeCell ref="D19:D20"/>
    <mergeCell ref="E19:E20"/>
    <mergeCell ref="F19:F20"/>
    <mergeCell ref="U19:U20"/>
    <mergeCell ref="D17:D18"/>
    <mergeCell ref="E17:E18"/>
    <mergeCell ref="F17:F18"/>
    <mergeCell ref="N11:N12"/>
    <mergeCell ref="O11:O12"/>
    <mergeCell ref="P11:P12"/>
    <mergeCell ref="U13:U14"/>
    <mergeCell ref="D15:D16"/>
    <mergeCell ref="E15:E16"/>
    <mergeCell ref="F15:F16"/>
    <mergeCell ref="U15:U16"/>
    <mergeCell ref="D13:D14"/>
    <mergeCell ref="E13:E14"/>
    <mergeCell ref="F13:F14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Q11:Q12"/>
    <mergeCell ref="R11:R12"/>
    <mergeCell ref="S11:S12"/>
    <mergeCell ref="U11:U12"/>
    <mergeCell ref="K11:K12"/>
    <mergeCell ref="L11:L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1" fitToHeight="21" orientation="landscape" r:id="rId1"/>
  <rowBreaks count="1" manualBreakCount="1">
    <brk id="32" min="3" max="24" man="1"/>
  </rowBreaks>
  <ignoredErrors>
    <ignoredError sqref="G13:G41 F14:F42" unlockedFormula="1"/>
    <ignoredError sqref="I25:S26 I31:S32 I35:S36" formula="1" unlockedFormula="1"/>
    <ignoredError sqref="T15:T41" formula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opLeftCell="F20" zoomScaleNormal="100" zoomScaleSheetLayoutView="80" zoomScalePageLayoutView="80" workbookViewId="0">
      <selection activeCell="O24" sqref="O12:O24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9.42578125" customWidth="1"/>
    <col min="7" max="7" width="17.85546875" customWidth="1"/>
    <col min="8" max="8" width="19.140625" customWidth="1"/>
    <col min="9" max="9" width="16.7109375" customWidth="1"/>
    <col min="10" max="10" width="15.5703125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7" ht="18" x14ac:dyDescent="0.25">
      <c r="D1" s="10" t="s">
        <v>25</v>
      </c>
      <c r="M1" s="11"/>
    </row>
    <row r="2" spans="1:17" ht="18" x14ac:dyDescent="0.25">
      <c r="D2" s="10" t="s">
        <v>24</v>
      </c>
    </row>
    <row r="3" spans="1:17" ht="18" x14ac:dyDescent="0.25">
      <c r="D3" s="10" t="s">
        <v>23</v>
      </c>
    </row>
    <row r="4" spans="1:17" ht="18" x14ac:dyDescent="0.25">
      <c r="D4" s="10" t="s">
        <v>22</v>
      </c>
      <c r="K4" s="9"/>
      <c r="L4" s="9"/>
      <c r="M4" s="9"/>
    </row>
    <row r="5" spans="1:17" ht="18" x14ac:dyDescent="0.25">
      <c r="D5" s="10" t="s">
        <v>21</v>
      </c>
    </row>
    <row r="6" spans="1:17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7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7" ht="18" x14ac:dyDescent="0.25">
      <c r="D8" s="39" t="s">
        <v>182</v>
      </c>
      <c r="E8" s="10" t="s">
        <v>130</v>
      </c>
      <c r="H8" s="9"/>
      <c r="I8" s="9"/>
      <c r="M8" s="9"/>
    </row>
    <row r="9" spans="1:17" ht="18.75" thickBot="1" x14ac:dyDescent="0.3">
      <c r="D9" s="10"/>
      <c r="H9" s="9"/>
      <c r="J9" s="9"/>
      <c r="M9" s="9"/>
    </row>
    <row r="10" spans="1:17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7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7" ht="57.75" thickTop="1" x14ac:dyDescent="0.25">
      <c r="A12" s="327" t="s">
        <v>378</v>
      </c>
      <c r="B12" s="308">
        <v>200201</v>
      </c>
      <c r="C12" s="328" t="s">
        <v>379</v>
      </c>
      <c r="D12" s="240" t="s">
        <v>380</v>
      </c>
      <c r="E12" s="767" t="s">
        <v>381</v>
      </c>
      <c r="F12" s="310">
        <f>GTO_Calendario!F13</f>
        <v>1092720</v>
      </c>
      <c r="G12" s="310">
        <v>91060</v>
      </c>
      <c r="H12" s="67">
        <f ca="1">GTO_Calendario!T13</f>
        <v>819540</v>
      </c>
      <c r="I12" s="67">
        <f>GTO_Calendario!T14</f>
        <v>728480</v>
      </c>
      <c r="J12" s="67">
        <f t="shared" ref="J12:J24" ca="1" si="0">H12-I12</f>
        <v>91060</v>
      </c>
      <c r="K12" s="67">
        <f t="shared" ref="K12:K24" ca="1" si="1">+J12/H12*100</f>
        <v>11.111111111111111</v>
      </c>
      <c r="L12" s="67">
        <f t="shared" ref="L12:L23" ca="1" si="2">+I12/H12*100</f>
        <v>88.888888888888886</v>
      </c>
      <c r="M12" s="242" t="s">
        <v>778</v>
      </c>
    </row>
    <row r="13" spans="1:17" ht="71.25" x14ac:dyDescent="0.25">
      <c r="A13" s="330" t="s">
        <v>382</v>
      </c>
      <c r="B13" s="311">
        <v>900110</v>
      </c>
      <c r="C13" s="331" t="s">
        <v>379</v>
      </c>
      <c r="D13" s="240" t="s">
        <v>383</v>
      </c>
      <c r="E13" s="767" t="s">
        <v>384</v>
      </c>
      <c r="F13" s="310">
        <f>GTO_Calendario!F15</f>
        <v>609156</v>
      </c>
      <c r="G13" s="310">
        <f>+F13/12</f>
        <v>50763</v>
      </c>
      <c r="H13" s="67">
        <f ca="1">GTO_Calendario!T15</f>
        <v>456867.00000000006</v>
      </c>
      <c r="I13" s="67">
        <f>GTO_Calendario!T16</f>
        <v>406099.68000000005</v>
      </c>
      <c r="J13" s="67">
        <f t="shared" ca="1" si="0"/>
        <v>50767.320000000007</v>
      </c>
      <c r="K13" s="67">
        <f t="shared" ca="1" si="1"/>
        <v>11.112056681703866</v>
      </c>
      <c r="L13" s="67">
        <f t="shared" ca="1" si="2"/>
        <v>88.887943318296138</v>
      </c>
      <c r="M13" s="242" t="s">
        <v>778</v>
      </c>
    </row>
    <row r="14" spans="1:17" ht="42.75" x14ac:dyDescent="0.25">
      <c r="A14" s="330" t="s">
        <v>385</v>
      </c>
      <c r="B14" s="311">
        <v>900110</v>
      </c>
      <c r="C14" s="332" t="s">
        <v>386</v>
      </c>
      <c r="D14" s="240" t="s">
        <v>387</v>
      </c>
      <c r="E14" s="767" t="s">
        <v>384</v>
      </c>
      <c r="F14" s="310">
        <f>GTO_Calendario!F17</f>
        <v>846336</v>
      </c>
      <c r="G14" s="310">
        <f>60800*1.16</f>
        <v>70528</v>
      </c>
      <c r="H14" s="67">
        <f ca="1">GTO_Calendario!T17</f>
        <v>634752</v>
      </c>
      <c r="I14" s="67">
        <f>GTO_Calendario!T18</f>
        <v>564224</v>
      </c>
      <c r="J14" s="67">
        <f t="shared" ca="1" si="0"/>
        <v>70528</v>
      </c>
      <c r="K14" s="67">
        <f t="shared" ca="1" si="1"/>
        <v>11.111111111111111</v>
      </c>
      <c r="L14" s="67">
        <f t="shared" ca="1" si="2"/>
        <v>88.888888888888886</v>
      </c>
      <c r="M14" s="242" t="s">
        <v>778</v>
      </c>
      <c r="P14" s="340"/>
      <c r="Q14" s="280"/>
    </row>
    <row r="15" spans="1:17" ht="70.5" customHeight="1" x14ac:dyDescent="0.25">
      <c r="A15" s="330" t="s">
        <v>388</v>
      </c>
      <c r="B15" s="311">
        <v>380200</v>
      </c>
      <c r="C15" s="333" t="s">
        <v>379</v>
      </c>
      <c r="D15" s="240" t="s">
        <v>389</v>
      </c>
      <c r="E15" s="767" t="s">
        <v>414</v>
      </c>
      <c r="F15" s="310">
        <f>GTO_Calendario!F19</f>
        <v>815412</v>
      </c>
      <c r="G15" s="310">
        <f>58577.88*1.16</f>
        <v>67950.340799999991</v>
      </c>
      <c r="H15" s="67">
        <f ca="1">GTO_Calendario!T19</f>
        <v>611559</v>
      </c>
      <c r="I15" s="67">
        <f>GTO_Calendario!T20</f>
        <v>543602.72</v>
      </c>
      <c r="J15" s="67">
        <f t="shared" ca="1" si="0"/>
        <v>67956.280000000028</v>
      </c>
      <c r="K15" s="67">
        <f t="shared" ca="1" si="1"/>
        <v>11.111974478341423</v>
      </c>
      <c r="L15" s="67">
        <f t="shared" ca="1" si="2"/>
        <v>88.888025521658577</v>
      </c>
      <c r="M15" s="242" t="s">
        <v>778</v>
      </c>
      <c r="P15" s="340"/>
      <c r="Q15" s="280"/>
    </row>
    <row r="16" spans="1:17" ht="63.75" customHeight="1" x14ac:dyDescent="0.25">
      <c r="A16" s="330" t="s">
        <v>391</v>
      </c>
      <c r="B16" s="311">
        <v>380200</v>
      </c>
      <c r="C16" s="332" t="s">
        <v>392</v>
      </c>
      <c r="D16" s="240" t="s">
        <v>393</v>
      </c>
      <c r="E16" s="767" t="s">
        <v>415</v>
      </c>
      <c r="F16" s="310">
        <f>GTO_Calendario!F21</f>
        <v>715416</v>
      </c>
      <c r="G16" s="310">
        <f>51394.79*1.16</f>
        <v>59617.956399999995</v>
      </c>
      <c r="H16" s="67">
        <f ca="1">GTO_Calendario!T21</f>
        <v>536562</v>
      </c>
      <c r="I16" s="67">
        <f>GTO_Calendario!T22</f>
        <v>476943.68000000005</v>
      </c>
      <c r="J16" s="67">
        <f t="shared" ca="1" si="0"/>
        <v>59618.319999999949</v>
      </c>
      <c r="K16" s="67">
        <f t="shared" ca="1" si="1"/>
        <v>11.111170750071743</v>
      </c>
      <c r="L16" s="67">
        <f t="shared" ca="1" si="2"/>
        <v>88.888829249928264</v>
      </c>
      <c r="M16" s="242" t="s">
        <v>778</v>
      </c>
      <c r="P16" s="340"/>
      <c r="Q16" s="280"/>
    </row>
    <row r="17" spans="1:18" ht="57" x14ac:dyDescent="0.25">
      <c r="A17" s="330" t="s">
        <v>395</v>
      </c>
      <c r="B17" s="311">
        <v>380200</v>
      </c>
      <c r="C17" s="331" t="s">
        <v>396</v>
      </c>
      <c r="D17" s="240" t="s">
        <v>397</v>
      </c>
      <c r="E17" s="767" t="s">
        <v>416</v>
      </c>
      <c r="F17" s="310">
        <f>GTO_Calendario!F23</f>
        <v>642720</v>
      </c>
      <c r="G17" s="185">
        <f>+F17/12</f>
        <v>53560</v>
      </c>
      <c r="H17" s="67">
        <f ca="1">GTO_Calendario!T23</f>
        <v>482040.00000000006</v>
      </c>
      <c r="I17" s="67">
        <f>GTO_Calendario!T24</f>
        <v>374915.31000000006</v>
      </c>
      <c r="J17" s="67">
        <f t="shared" ca="1" si="0"/>
        <v>107124.69</v>
      </c>
      <c r="K17" s="67">
        <f t="shared" ca="1" si="1"/>
        <v>22.223195170525265</v>
      </c>
      <c r="L17" s="67">
        <f t="shared" ca="1" si="2"/>
        <v>77.776804829474727</v>
      </c>
      <c r="M17" s="242" t="s">
        <v>420</v>
      </c>
      <c r="P17" s="340"/>
      <c r="Q17" s="280"/>
    </row>
    <row r="18" spans="1:18" ht="66" customHeight="1" x14ac:dyDescent="0.25">
      <c r="A18" s="330" t="s">
        <v>399</v>
      </c>
      <c r="B18" s="311">
        <v>920201</v>
      </c>
      <c r="C18" s="335"/>
      <c r="D18" s="240" t="s">
        <v>417</v>
      </c>
      <c r="E18" s="767" t="s">
        <v>210</v>
      </c>
      <c r="F18" s="310">
        <f>GTO_Calendario!F25</f>
        <v>584640</v>
      </c>
      <c r="G18" s="310">
        <f>42000*1.16</f>
        <v>48720</v>
      </c>
      <c r="H18" s="67">
        <f ca="1">GTO_Calendario!T25</f>
        <v>438480</v>
      </c>
      <c r="I18" s="67">
        <f>GTO_Calendario!T26</f>
        <v>292319.15999999997</v>
      </c>
      <c r="J18" s="67">
        <f t="shared" ca="1" si="0"/>
        <v>146160.84000000003</v>
      </c>
      <c r="K18" s="67">
        <f t="shared" ca="1" si="1"/>
        <v>33.33352490421457</v>
      </c>
      <c r="L18" s="67">
        <f t="shared" ca="1" si="2"/>
        <v>66.666475095785444</v>
      </c>
      <c r="M18" s="242" t="s">
        <v>375</v>
      </c>
      <c r="P18" s="340"/>
      <c r="Q18" s="280"/>
    </row>
    <row r="19" spans="1:18" ht="65.25" hidden="1" customHeight="1" x14ac:dyDescent="0.25">
      <c r="A19" s="330" t="s">
        <v>401</v>
      </c>
      <c r="B19" s="311">
        <v>920201</v>
      </c>
      <c r="C19" s="336" t="s">
        <v>402</v>
      </c>
      <c r="D19" s="240" t="s">
        <v>403</v>
      </c>
      <c r="E19" s="767" t="s">
        <v>404</v>
      </c>
      <c r="F19" s="310">
        <f>GTO_Calendario!F20</f>
        <v>0</v>
      </c>
      <c r="G19" s="310"/>
      <c r="H19" s="67"/>
      <c r="I19" s="67"/>
      <c r="J19" s="67">
        <f t="shared" si="0"/>
        <v>0</v>
      </c>
      <c r="K19" s="67" t="e">
        <f t="shared" si="1"/>
        <v>#DIV/0!</v>
      </c>
      <c r="L19" s="67" t="e">
        <f t="shared" si="2"/>
        <v>#DIV/0!</v>
      </c>
      <c r="M19" s="242" t="s">
        <v>418</v>
      </c>
      <c r="P19" s="340"/>
      <c r="Q19" s="280"/>
    </row>
    <row r="20" spans="1:18" ht="67.5" customHeight="1" x14ac:dyDescent="0.25">
      <c r="A20" s="330" t="s">
        <v>401</v>
      </c>
      <c r="B20" s="311">
        <v>920201</v>
      </c>
      <c r="C20" s="336"/>
      <c r="D20" s="135" t="s">
        <v>405</v>
      </c>
      <c r="E20" s="767" t="s">
        <v>404</v>
      </c>
      <c r="F20" s="310">
        <f>GTO_Calendario!F29</f>
        <v>765600</v>
      </c>
      <c r="G20" s="341">
        <v>63800</v>
      </c>
      <c r="H20" s="67">
        <f ca="1">GTO_Calendario!T29</f>
        <v>574200</v>
      </c>
      <c r="I20" s="67">
        <f>GTO_Calendario!T30</f>
        <v>510400</v>
      </c>
      <c r="J20" s="67">
        <f t="shared" ca="1" si="0"/>
        <v>63800</v>
      </c>
      <c r="K20" s="67">
        <f t="shared" ca="1" si="1"/>
        <v>11.111111111111111</v>
      </c>
      <c r="L20" s="67">
        <f t="shared" ca="1" si="2"/>
        <v>88.888888888888886</v>
      </c>
      <c r="M20" s="242" t="s">
        <v>778</v>
      </c>
      <c r="P20" s="340"/>
      <c r="Q20" s="280"/>
    </row>
    <row r="21" spans="1:18" ht="57.75" hidden="1" thickBot="1" x14ac:dyDescent="0.3">
      <c r="A21" s="330" t="s">
        <v>406</v>
      </c>
      <c r="B21" s="311">
        <v>150904</v>
      </c>
      <c r="C21" s="337" t="s">
        <v>396</v>
      </c>
      <c r="D21" s="143" t="s">
        <v>407</v>
      </c>
      <c r="E21" s="768" t="s">
        <v>408</v>
      </c>
      <c r="F21" s="310">
        <f>GTO_Calendario!F22</f>
        <v>0</v>
      </c>
      <c r="G21" s="342"/>
      <c r="H21" s="67"/>
      <c r="I21" s="67"/>
      <c r="J21" s="68">
        <f t="shared" si="0"/>
        <v>0</v>
      </c>
      <c r="K21" s="68" t="e">
        <f t="shared" si="1"/>
        <v>#DIV/0!</v>
      </c>
      <c r="L21" s="68" t="e">
        <f t="shared" si="2"/>
        <v>#DIV/0!</v>
      </c>
      <c r="M21" s="242" t="s">
        <v>778</v>
      </c>
      <c r="P21" s="340"/>
      <c r="Q21" s="280"/>
    </row>
    <row r="22" spans="1:18" ht="69" customHeight="1" thickBot="1" x14ac:dyDescent="0.3">
      <c r="A22" s="330" t="s">
        <v>406</v>
      </c>
      <c r="B22" s="311">
        <v>150904</v>
      </c>
      <c r="C22" s="337" t="s">
        <v>396</v>
      </c>
      <c r="D22" s="143" t="s">
        <v>409</v>
      </c>
      <c r="E22" s="768" t="s">
        <v>410</v>
      </c>
      <c r="F22" s="310">
        <f>GTO_Calendario!F33</f>
        <v>1252800</v>
      </c>
      <c r="G22" s="342">
        <f>+F22/12</f>
        <v>104400</v>
      </c>
      <c r="H22" s="67">
        <f ca="1">GTO_Calendario!T33</f>
        <v>939600</v>
      </c>
      <c r="I22" s="67">
        <f>GTO_Calendario!T34</f>
        <v>835200</v>
      </c>
      <c r="J22" s="68">
        <f t="shared" ca="1" si="0"/>
        <v>104400</v>
      </c>
      <c r="K22" s="68">
        <f t="shared" ca="1" si="1"/>
        <v>11.111111111111111</v>
      </c>
      <c r="L22" s="68">
        <f t="shared" ca="1" si="2"/>
        <v>88.888888888888886</v>
      </c>
      <c r="M22" s="242" t="s">
        <v>778</v>
      </c>
      <c r="P22" s="340"/>
      <c r="Q22" s="280"/>
    </row>
    <row r="23" spans="1:18" ht="56.25" customHeight="1" thickBot="1" x14ac:dyDescent="0.3">
      <c r="A23" s="330" t="s">
        <v>411</v>
      </c>
      <c r="B23" s="311">
        <v>920201</v>
      </c>
      <c r="C23" s="337" t="s">
        <v>396</v>
      </c>
      <c r="D23" s="143" t="s">
        <v>419</v>
      </c>
      <c r="E23" s="768" t="s">
        <v>210</v>
      </c>
      <c r="F23" s="310">
        <f>GTO_Calendario!F35</f>
        <v>835200</v>
      </c>
      <c r="G23" s="342">
        <f>+F23/12</f>
        <v>69600</v>
      </c>
      <c r="H23" s="67">
        <f ca="1">GTO_Calendario!T35</f>
        <v>626400</v>
      </c>
      <c r="I23" s="67">
        <f>GTO_Calendario!T36</f>
        <v>556800</v>
      </c>
      <c r="J23" s="68">
        <f t="shared" ca="1" si="0"/>
        <v>69600</v>
      </c>
      <c r="K23" s="68">
        <f t="shared" ca="1" si="1"/>
        <v>11.111111111111111</v>
      </c>
      <c r="L23" s="68">
        <f t="shared" ca="1" si="2"/>
        <v>88.888888888888886</v>
      </c>
      <c r="M23" s="242" t="s">
        <v>778</v>
      </c>
      <c r="P23" s="340"/>
      <c r="Q23" s="280"/>
    </row>
    <row r="24" spans="1:18" ht="15.75" thickBot="1" x14ac:dyDescent="0.3">
      <c r="A24" s="4"/>
      <c r="B24" s="40">
        <v>12</v>
      </c>
      <c r="C24" s="24">
        <f>COUNT(#REF!)</f>
        <v>0</v>
      </c>
      <c r="D24" s="7"/>
      <c r="E24" s="6"/>
      <c r="F24" s="32">
        <f>ROUNDUP(SUM(F12:F23),2)</f>
        <v>8160000</v>
      </c>
      <c r="G24" s="32">
        <f>ROUNDUP(SUM(G12:G23),2)</f>
        <v>679999.3</v>
      </c>
      <c r="H24" s="215">
        <f ca="1">SUM(H12:H23)</f>
        <v>6120000</v>
      </c>
      <c r="I24" s="32">
        <f>SUM(I12:I23)</f>
        <v>5288984.5500000007</v>
      </c>
      <c r="J24" s="32">
        <f t="shared" ca="1" si="0"/>
        <v>831015.44999999925</v>
      </c>
      <c r="K24" s="150">
        <f t="shared" ca="1" si="1"/>
        <v>13.578683823529399</v>
      </c>
      <c r="L24" s="151">
        <f ca="1">+I24/H24*100</f>
        <v>86.421316176470597</v>
      </c>
      <c r="M24" s="5"/>
      <c r="P24" s="340"/>
      <c r="Q24" s="280"/>
    </row>
    <row r="25" spans="1:18" ht="31.5" customHeight="1" x14ac:dyDescent="0.25">
      <c r="F25" s="3"/>
      <c r="G25" s="3"/>
      <c r="H25" s="2"/>
      <c r="I25" s="2"/>
      <c r="J25" s="2"/>
      <c r="K25" s="2"/>
      <c r="L25" s="2"/>
      <c r="M25" s="70"/>
      <c r="O25" s="9"/>
      <c r="P25" s="343"/>
      <c r="Q25" s="9"/>
    </row>
    <row r="26" spans="1:18" ht="16.5" customHeight="1" x14ac:dyDescent="0.25">
      <c r="K26" s="118"/>
      <c r="M26" s="192"/>
      <c r="O26" s="9"/>
      <c r="P26" s="343"/>
      <c r="Q26" s="9"/>
    </row>
    <row r="27" spans="1:18" x14ac:dyDescent="0.25">
      <c r="J27" s="9"/>
      <c r="O27" s="9"/>
      <c r="P27" s="343"/>
      <c r="Q27" s="9"/>
    </row>
    <row r="28" spans="1:18" x14ac:dyDescent="0.25">
      <c r="M28" s="192"/>
      <c r="O28" s="9"/>
      <c r="P28" s="343"/>
      <c r="Q28" s="9"/>
    </row>
    <row r="29" spans="1:18" x14ac:dyDescent="0.25">
      <c r="O29" s="9"/>
      <c r="P29" s="9"/>
      <c r="Q29" s="9"/>
      <c r="R29" s="9"/>
    </row>
    <row r="34" spans="8:8" x14ac:dyDescent="0.25">
      <c r="H34" t="s">
        <v>421</v>
      </c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8" fitToHeight="21" orientation="landscape" r:id="rId1"/>
  <colBreaks count="1" manualBreakCount="1">
    <brk id="13" max="21" man="1"/>
  </colBreaks>
  <ignoredErrors>
    <ignoredError sqref="F12:F23" unlockedFormula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view="pageBreakPreview" zoomScale="80" zoomScaleNormal="100" zoomScaleSheetLayoutView="80" zoomScalePageLayoutView="80" workbookViewId="0">
      <pane xSplit="5" ySplit="12" topLeftCell="F22" activePane="bottomRight" state="frozen"/>
      <selection pane="topRight" activeCell="F1" sqref="F1"/>
      <selection pane="bottomLeft" activeCell="A12" sqref="A12"/>
      <selection pane="bottomRight" activeCell="J41" sqref="J41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19.7109375" customWidth="1"/>
    <col min="7" max="9" width="17" customWidth="1"/>
    <col min="10" max="10" width="18.42578125" customWidth="1"/>
    <col min="11" max="19" width="17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182</v>
      </c>
      <c r="E8" s="10" t="s">
        <v>130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1" ht="18.75" thickBot="1" x14ac:dyDescent="0.3">
      <c r="D9" s="39"/>
      <c r="E9" s="1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1" ht="18.75" hidden="1" thickBot="1" x14ac:dyDescent="0.3">
      <c r="D10" s="10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>
        <v>402797.69</v>
      </c>
    </row>
    <row r="11" spans="1:21" ht="18" customHeight="1" x14ac:dyDescent="0.25">
      <c r="A11" s="64"/>
      <c r="B11" s="63" t="s">
        <v>18</v>
      </c>
      <c r="C11" s="844" t="s">
        <v>17</v>
      </c>
      <c r="D11" s="858" t="s">
        <v>16</v>
      </c>
      <c r="E11" s="848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5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5.25" customHeight="1" thickTop="1" thickBot="1" x14ac:dyDescent="0.3">
      <c r="A13" s="308">
        <v>200201</v>
      </c>
      <c r="B13" s="736">
        <v>112408</v>
      </c>
      <c r="C13" s="328" t="s">
        <v>379</v>
      </c>
      <c r="D13" s="931" t="s">
        <v>380</v>
      </c>
      <c r="E13" s="933" t="s">
        <v>381</v>
      </c>
      <c r="F13" s="929">
        <f>SUM(H13:S13)</f>
        <v>1092720</v>
      </c>
      <c r="G13" s="310" t="s">
        <v>52</v>
      </c>
      <c r="H13" s="310"/>
      <c r="I13" s="310">
        <f t="shared" ref="I13:S13" si="0">VLOOKUP($A13&amp;$B13&amp;I$10,Base,8,FALSE)</f>
        <v>0</v>
      </c>
      <c r="J13" s="310">
        <f t="shared" si="0"/>
        <v>182120</v>
      </c>
      <c r="K13" s="310">
        <f t="shared" si="0"/>
        <v>91060</v>
      </c>
      <c r="L13" s="310">
        <f t="shared" si="0"/>
        <v>91060</v>
      </c>
      <c r="M13" s="310">
        <f t="shared" si="0"/>
        <v>91060</v>
      </c>
      <c r="N13" s="310">
        <f t="shared" si="0"/>
        <v>91060</v>
      </c>
      <c r="O13" s="310">
        <f t="shared" si="0"/>
        <v>91060</v>
      </c>
      <c r="P13" s="310">
        <f t="shared" si="0"/>
        <v>91060</v>
      </c>
      <c r="Q13" s="310">
        <f t="shared" si="0"/>
        <v>91060</v>
      </c>
      <c r="R13" s="310">
        <f t="shared" si="0"/>
        <v>91060</v>
      </c>
      <c r="S13" s="310">
        <f t="shared" si="0"/>
        <v>182120</v>
      </c>
      <c r="T13" s="67">
        <f ca="1">SUM($H13:(OFFSET($H13,0,AVANCE060826!$T$2)))</f>
        <v>819540</v>
      </c>
      <c r="U13" s="934"/>
    </row>
    <row r="14" spans="1:21" ht="35.25" customHeight="1" thickTop="1" x14ac:dyDescent="0.25">
      <c r="A14" s="308">
        <v>200201</v>
      </c>
      <c r="B14" s="736">
        <v>112408</v>
      </c>
      <c r="C14" s="328"/>
      <c r="D14" s="932"/>
      <c r="E14" s="933"/>
      <c r="F14" s="929"/>
      <c r="G14" s="310" t="s">
        <v>53</v>
      </c>
      <c r="H14" s="310"/>
      <c r="I14" s="310">
        <f t="shared" ref="I14:S14" si="1">VLOOKUP($A14&amp;$B14&amp;I$10,Base,9,FALSE)</f>
        <v>0</v>
      </c>
      <c r="J14" s="310">
        <f t="shared" si="1"/>
        <v>182120</v>
      </c>
      <c r="K14" s="310">
        <f t="shared" si="1"/>
        <v>91060</v>
      </c>
      <c r="L14" s="310">
        <f t="shared" si="1"/>
        <v>91060</v>
      </c>
      <c r="M14" s="310">
        <f t="shared" si="1"/>
        <v>91060</v>
      </c>
      <c r="N14" s="310">
        <f t="shared" si="1"/>
        <v>91060</v>
      </c>
      <c r="O14" s="310">
        <f t="shared" si="1"/>
        <v>91060</v>
      </c>
      <c r="P14" s="310">
        <f t="shared" si="1"/>
        <v>91060</v>
      </c>
      <c r="Q14" s="310">
        <f t="shared" si="1"/>
        <v>0</v>
      </c>
      <c r="R14" s="310">
        <f t="shared" si="1"/>
        <v>0</v>
      </c>
      <c r="S14" s="310">
        <f t="shared" si="1"/>
        <v>0</v>
      </c>
      <c r="T14" s="329">
        <f>SUM(H14:S14)</f>
        <v>728480</v>
      </c>
      <c r="U14" s="935"/>
    </row>
    <row r="15" spans="1:21" ht="35.25" customHeight="1" x14ac:dyDescent="0.25">
      <c r="A15" s="311">
        <v>900110</v>
      </c>
      <c r="B15" s="737">
        <v>119103</v>
      </c>
      <c r="C15" s="331" t="s">
        <v>379</v>
      </c>
      <c r="D15" s="931" t="s">
        <v>383</v>
      </c>
      <c r="E15" s="933" t="s">
        <v>384</v>
      </c>
      <c r="F15" s="929">
        <f>SUM(H15:S15)</f>
        <v>609156</v>
      </c>
      <c r="G15" s="310" t="s">
        <v>52</v>
      </c>
      <c r="H15" s="310"/>
      <c r="I15" s="310">
        <f t="shared" ref="I15:S15" si="2">VLOOKUP($A15&amp;$B15&amp;I$10,Base,8,FALSE)</f>
        <v>0</v>
      </c>
      <c r="J15" s="310">
        <f t="shared" si="2"/>
        <v>101524.92</v>
      </c>
      <c r="K15" s="310">
        <f t="shared" si="2"/>
        <v>50762.46</v>
      </c>
      <c r="L15" s="310">
        <f t="shared" si="2"/>
        <v>50762.46</v>
      </c>
      <c r="M15" s="310">
        <f t="shared" si="2"/>
        <v>50762.46</v>
      </c>
      <c r="N15" s="310">
        <f t="shared" si="2"/>
        <v>50762.46</v>
      </c>
      <c r="O15" s="310">
        <f t="shared" si="2"/>
        <v>50762.46</v>
      </c>
      <c r="P15" s="310">
        <f t="shared" si="2"/>
        <v>50762.46</v>
      </c>
      <c r="Q15" s="310">
        <f t="shared" si="2"/>
        <v>50767.32</v>
      </c>
      <c r="R15" s="310">
        <f t="shared" si="2"/>
        <v>50763</v>
      </c>
      <c r="S15" s="310">
        <f t="shared" si="2"/>
        <v>101526</v>
      </c>
      <c r="T15" s="67">
        <f ca="1">SUM($H15:(OFFSET($H15,0,AVANCE060826!$T$2)))</f>
        <v>456867.00000000006</v>
      </c>
      <c r="U15" s="934"/>
    </row>
    <row r="16" spans="1:21" ht="35.25" customHeight="1" x14ac:dyDescent="0.25">
      <c r="A16" s="311">
        <v>900110</v>
      </c>
      <c r="B16" s="737">
        <v>119103</v>
      </c>
      <c r="C16" s="331"/>
      <c r="D16" s="932"/>
      <c r="E16" s="933"/>
      <c r="F16" s="929"/>
      <c r="G16" s="310" t="s">
        <v>53</v>
      </c>
      <c r="H16" s="310"/>
      <c r="I16" s="310">
        <f t="shared" ref="I16:S16" si="3">VLOOKUP($A16&amp;$B16&amp;I$10,Base,9,FALSE)</f>
        <v>0</v>
      </c>
      <c r="J16" s="310">
        <f t="shared" si="3"/>
        <v>101524.92</v>
      </c>
      <c r="K16" s="310">
        <f t="shared" si="3"/>
        <v>50762.46</v>
      </c>
      <c r="L16" s="310">
        <f t="shared" si="3"/>
        <v>50762.46</v>
      </c>
      <c r="M16" s="310">
        <f t="shared" si="3"/>
        <v>50762.46</v>
      </c>
      <c r="N16" s="310">
        <f t="shared" si="3"/>
        <v>50762.46</v>
      </c>
      <c r="O16" s="310">
        <f t="shared" si="3"/>
        <v>50762.46</v>
      </c>
      <c r="P16" s="310">
        <f t="shared" si="3"/>
        <v>50762.46</v>
      </c>
      <c r="Q16" s="310">
        <f t="shared" si="3"/>
        <v>0</v>
      </c>
      <c r="R16" s="310">
        <f t="shared" si="3"/>
        <v>0</v>
      </c>
      <c r="S16" s="310">
        <f t="shared" si="3"/>
        <v>0</v>
      </c>
      <c r="T16" s="329">
        <f>SUM(H16:S16)</f>
        <v>406099.68000000005</v>
      </c>
      <c r="U16" s="935"/>
    </row>
    <row r="17" spans="1:21" ht="35.25" customHeight="1" x14ac:dyDescent="0.25">
      <c r="A17" s="311">
        <v>900110</v>
      </c>
      <c r="B17" s="737">
        <v>119104</v>
      </c>
      <c r="C17" s="332" t="s">
        <v>386</v>
      </c>
      <c r="D17" s="931" t="s">
        <v>387</v>
      </c>
      <c r="E17" s="936" t="s">
        <v>384</v>
      </c>
      <c r="F17" s="929">
        <f>SUM(H17:S17)</f>
        <v>846336</v>
      </c>
      <c r="G17" s="310" t="s">
        <v>52</v>
      </c>
      <c r="H17" s="310"/>
      <c r="I17" s="310">
        <f t="shared" ref="I17:S17" si="4">VLOOKUP($A17&amp;$B17&amp;I$10,Base,8,FALSE)</f>
        <v>0</v>
      </c>
      <c r="J17" s="310">
        <f t="shared" si="4"/>
        <v>141056</v>
      </c>
      <c r="K17" s="310">
        <f t="shared" si="4"/>
        <v>70528</v>
      </c>
      <c r="L17" s="310">
        <f t="shared" si="4"/>
        <v>70528</v>
      </c>
      <c r="M17" s="310">
        <f t="shared" si="4"/>
        <v>70528</v>
      </c>
      <c r="N17" s="310">
        <f t="shared" si="4"/>
        <v>70528</v>
      </c>
      <c r="O17" s="310">
        <f t="shared" si="4"/>
        <v>70528</v>
      </c>
      <c r="P17" s="310">
        <f t="shared" si="4"/>
        <v>70528</v>
      </c>
      <c r="Q17" s="310">
        <f t="shared" si="4"/>
        <v>70528</v>
      </c>
      <c r="R17" s="310">
        <f t="shared" si="4"/>
        <v>70528</v>
      </c>
      <c r="S17" s="310">
        <f t="shared" si="4"/>
        <v>141056</v>
      </c>
      <c r="T17" s="67">
        <f ca="1">SUM($H17:(OFFSET($H17,0,AVANCE060826!$T$2)))</f>
        <v>634752</v>
      </c>
      <c r="U17" s="934"/>
    </row>
    <row r="18" spans="1:21" ht="35.25" customHeight="1" x14ac:dyDescent="0.25">
      <c r="A18" s="311">
        <v>900110</v>
      </c>
      <c r="B18" s="737">
        <v>119104</v>
      </c>
      <c r="C18" s="332"/>
      <c r="D18" s="932"/>
      <c r="E18" s="936"/>
      <c r="F18" s="929"/>
      <c r="G18" s="310" t="s">
        <v>53</v>
      </c>
      <c r="H18" s="310"/>
      <c r="I18" s="310">
        <f t="shared" ref="I18:S18" si="5">VLOOKUP($A18&amp;$B18&amp;I$10,Base,9,FALSE)</f>
        <v>0</v>
      </c>
      <c r="J18" s="310">
        <f t="shared" si="5"/>
        <v>141056</v>
      </c>
      <c r="K18" s="310">
        <f t="shared" si="5"/>
        <v>70528</v>
      </c>
      <c r="L18" s="310">
        <f t="shared" si="5"/>
        <v>70528</v>
      </c>
      <c r="M18" s="310">
        <f t="shared" si="5"/>
        <v>70528</v>
      </c>
      <c r="N18" s="310">
        <f t="shared" si="5"/>
        <v>70528</v>
      </c>
      <c r="O18" s="310">
        <f t="shared" si="5"/>
        <v>70528</v>
      </c>
      <c r="P18" s="310">
        <f t="shared" si="5"/>
        <v>70528</v>
      </c>
      <c r="Q18" s="310">
        <f t="shared" si="5"/>
        <v>0</v>
      </c>
      <c r="R18" s="310">
        <f t="shared" si="5"/>
        <v>0</v>
      </c>
      <c r="S18" s="310">
        <f t="shared" si="5"/>
        <v>0</v>
      </c>
      <c r="T18" s="329">
        <f>SUM(H18:S18)</f>
        <v>564224</v>
      </c>
      <c r="U18" s="935"/>
    </row>
    <row r="19" spans="1:21" ht="35.25" customHeight="1" x14ac:dyDescent="0.25">
      <c r="A19" s="311">
        <v>380200</v>
      </c>
      <c r="B19" s="737">
        <v>115903</v>
      </c>
      <c r="C19" s="333" t="s">
        <v>379</v>
      </c>
      <c r="D19" s="931" t="s">
        <v>389</v>
      </c>
      <c r="E19" s="933" t="s">
        <v>390</v>
      </c>
      <c r="F19" s="929">
        <f>SUM(H19:S19)</f>
        <v>815412</v>
      </c>
      <c r="G19" s="310" t="s">
        <v>52</v>
      </c>
      <c r="H19" s="310"/>
      <c r="I19" s="310">
        <f t="shared" ref="I19:S19" si="6">VLOOKUP($A19&amp;$B19&amp;I$10,Base,8,FALSE)</f>
        <v>0</v>
      </c>
      <c r="J19" s="310">
        <f t="shared" si="6"/>
        <v>135900.68</v>
      </c>
      <c r="K19" s="310">
        <f t="shared" si="6"/>
        <v>67950.34</v>
      </c>
      <c r="L19" s="310">
        <f t="shared" si="6"/>
        <v>67950.34</v>
      </c>
      <c r="M19" s="310">
        <f t="shared" si="6"/>
        <v>67950.34</v>
      </c>
      <c r="N19" s="310">
        <f t="shared" si="6"/>
        <v>0</v>
      </c>
      <c r="O19" s="310">
        <f t="shared" si="6"/>
        <v>135900.68</v>
      </c>
      <c r="P19" s="310">
        <f t="shared" si="6"/>
        <v>67950.34</v>
      </c>
      <c r="Q19" s="310">
        <f t="shared" si="6"/>
        <v>67956.28</v>
      </c>
      <c r="R19" s="310">
        <f t="shared" si="6"/>
        <v>67951</v>
      </c>
      <c r="S19" s="310">
        <f t="shared" si="6"/>
        <v>135902</v>
      </c>
      <c r="T19" s="67">
        <f ca="1">SUM($H19:(OFFSET($H19,0,AVANCE060826!$T$2)))</f>
        <v>611559</v>
      </c>
      <c r="U19" s="934"/>
    </row>
    <row r="20" spans="1:21" ht="35.25" customHeight="1" x14ac:dyDescent="0.25">
      <c r="A20" s="311">
        <v>380200</v>
      </c>
      <c r="B20" s="737">
        <v>115903</v>
      </c>
      <c r="C20" s="333"/>
      <c r="D20" s="932"/>
      <c r="E20" s="933"/>
      <c r="F20" s="929"/>
      <c r="G20" s="310" t="s">
        <v>53</v>
      </c>
      <c r="H20" s="310"/>
      <c r="I20" s="310">
        <f t="shared" ref="I20:S20" si="7">VLOOKUP($A20&amp;$B20&amp;I$10,Base,9,FALSE)</f>
        <v>0</v>
      </c>
      <c r="J20" s="310">
        <f t="shared" si="7"/>
        <v>135900.68</v>
      </c>
      <c r="K20" s="310">
        <f t="shared" si="7"/>
        <v>67950.34</v>
      </c>
      <c r="L20" s="310">
        <f t="shared" si="7"/>
        <v>67950.34</v>
      </c>
      <c r="M20" s="310">
        <f t="shared" si="7"/>
        <v>67950.34</v>
      </c>
      <c r="N20" s="310">
        <f t="shared" si="7"/>
        <v>0</v>
      </c>
      <c r="O20" s="310">
        <f t="shared" si="7"/>
        <v>135900.68</v>
      </c>
      <c r="P20" s="310">
        <f t="shared" si="7"/>
        <v>67950.34</v>
      </c>
      <c r="Q20" s="310">
        <f t="shared" si="7"/>
        <v>0</v>
      </c>
      <c r="R20" s="310">
        <f t="shared" si="7"/>
        <v>0</v>
      </c>
      <c r="S20" s="310">
        <f t="shared" si="7"/>
        <v>0</v>
      </c>
      <c r="T20" s="329">
        <f>SUM(H20:S20)</f>
        <v>543602.72</v>
      </c>
      <c r="U20" s="935"/>
    </row>
    <row r="21" spans="1:21" ht="35.25" customHeight="1" x14ac:dyDescent="0.25">
      <c r="A21" s="311">
        <v>380200</v>
      </c>
      <c r="B21" s="737">
        <v>115902</v>
      </c>
      <c r="C21" s="332" t="s">
        <v>392</v>
      </c>
      <c r="D21" s="931" t="s">
        <v>393</v>
      </c>
      <c r="E21" s="933" t="s">
        <v>394</v>
      </c>
      <c r="F21" s="929">
        <f>SUM(H21:S21)</f>
        <v>715416</v>
      </c>
      <c r="G21" s="310" t="s">
        <v>52</v>
      </c>
      <c r="H21" s="310"/>
      <c r="I21" s="310">
        <f t="shared" ref="I21:S21" si="8">VLOOKUP($A21&amp;$B21&amp;I$10,Base,8,FALSE)</f>
        <v>0</v>
      </c>
      <c r="J21" s="310">
        <f t="shared" si="8"/>
        <v>119235.91</v>
      </c>
      <c r="K21" s="310">
        <f t="shared" si="8"/>
        <v>59617.97</v>
      </c>
      <c r="L21" s="310">
        <f t="shared" si="8"/>
        <v>59617.96</v>
      </c>
      <c r="M21" s="310">
        <f t="shared" si="8"/>
        <v>59617.96</v>
      </c>
      <c r="N21" s="310">
        <f t="shared" si="8"/>
        <v>59617.96</v>
      </c>
      <c r="O21" s="310">
        <f t="shared" si="8"/>
        <v>59617.96</v>
      </c>
      <c r="P21" s="310">
        <f t="shared" si="8"/>
        <v>59617.96</v>
      </c>
      <c r="Q21" s="310">
        <f t="shared" si="8"/>
        <v>59618.32</v>
      </c>
      <c r="R21" s="310">
        <f t="shared" si="8"/>
        <v>59618</v>
      </c>
      <c r="S21" s="310">
        <f t="shared" si="8"/>
        <v>119236</v>
      </c>
      <c r="T21" s="67">
        <f ca="1">SUM($H21:(OFFSET($H21,0,AVANCE060826!$T$2)))</f>
        <v>536562</v>
      </c>
      <c r="U21" s="934"/>
    </row>
    <row r="22" spans="1:21" ht="35.25" customHeight="1" x14ac:dyDescent="0.25">
      <c r="A22" s="311">
        <v>380200</v>
      </c>
      <c r="B22" s="737">
        <v>115902</v>
      </c>
      <c r="C22" s="332"/>
      <c r="D22" s="932"/>
      <c r="E22" s="933"/>
      <c r="F22" s="929"/>
      <c r="G22" s="310" t="s">
        <v>53</v>
      </c>
      <c r="H22" s="310"/>
      <c r="I22" s="310">
        <f t="shared" ref="I22:S22" si="9">VLOOKUP($A22&amp;$B22&amp;I$10,Base,9,FALSE)</f>
        <v>0</v>
      </c>
      <c r="J22" s="310">
        <f t="shared" si="9"/>
        <v>119235.91</v>
      </c>
      <c r="K22" s="310">
        <f t="shared" si="9"/>
        <v>59617.97</v>
      </c>
      <c r="L22" s="310">
        <f t="shared" si="9"/>
        <v>59617.96</v>
      </c>
      <c r="M22" s="310">
        <f t="shared" si="9"/>
        <v>59617.96</v>
      </c>
      <c r="N22" s="310">
        <f t="shared" si="9"/>
        <v>59617.96</v>
      </c>
      <c r="O22" s="310">
        <f t="shared" si="9"/>
        <v>59617.96</v>
      </c>
      <c r="P22" s="310">
        <f t="shared" si="9"/>
        <v>59617.96</v>
      </c>
      <c r="Q22" s="310">
        <f t="shared" si="9"/>
        <v>0</v>
      </c>
      <c r="R22" s="310">
        <f t="shared" si="9"/>
        <v>0</v>
      </c>
      <c r="S22" s="310">
        <f t="shared" si="9"/>
        <v>0</v>
      </c>
      <c r="T22" s="329">
        <f>SUM(H22:S22)</f>
        <v>476943.68000000005</v>
      </c>
      <c r="U22" s="935"/>
    </row>
    <row r="23" spans="1:21" ht="35.25" customHeight="1" x14ac:dyDescent="0.25">
      <c r="A23" s="311">
        <v>380200</v>
      </c>
      <c r="B23" s="737">
        <v>115905</v>
      </c>
      <c r="C23" s="331" t="s">
        <v>396</v>
      </c>
      <c r="D23" s="931" t="s">
        <v>397</v>
      </c>
      <c r="E23" s="933" t="s">
        <v>398</v>
      </c>
      <c r="F23" s="929">
        <f>SUM(H23:S23)</f>
        <v>642720</v>
      </c>
      <c r="G23" s="310" t="s">
        <v>52</v>
      </c>
      <c r="H23" s="310"/>
      <c r="I23" s="310">
        <f t="shared" ref="I23:S23" si="10">VLOOKUP($A23&amp;$B23&amp;I$10,Base,8,FALSE)</f>
        <v>0</v>
      </c>
      <c r="J23" s="310">
        <f t="shared" si="10"/>
        <v>0</v>
      </c>
      <c r="K23" s="310">
        <f t="shared" si="10"/>
        <v>0</v>
      </c>
      <c r="L23" s="310">
        <f t="shared" si="10"/>
        <v>0</v>
      </c>
      <c r="M23" s="310">
        <f t="shared" si="10"/>
        <v>267796.65000000002</v>
      </c>
      <c r="N23" s="310">
        <f t="shared" si="10"/>
        <v>0</v>
      </c>
      <c r="O23" s="310">
        <f t="shared" si="10"/>
        <v>53559.33</v>
      </c>
      <c r="P23" s="310">
        <f t="shared" si="10"/>
        <v>53559.33</v>
      </c>
      <c r="Q23" s="310">
        <f t="shared" si="10"/>
        <v>107124.69</v>
      </c>
      <c r="R23" s="310">
        <f t="shared" si="10"/>
        <v>53560</v>
      </c>
      <c r="S23" s="310">
        <f t="shared" si="10"/>
        <v>107120</v>
      </c>
      <c r="T23" s="67">
        <f ca="1">SUM($H23:(OFFSET($H23,0,AVANCE060826!$T$2)))</f>
        <v>482040.00000000006</v>
      </c>
      <c r="U23" s="934"/>
    </row>
    <row r="24" spans="1:21" ht="35.25" customHeight="1" x14ac:dyDescent="0.25">
      <c r="A24" s="311">
        <v>380200</v>
      </c>
      <c r="B24" s="737">
        <v>115905</v>
      </c>
      <c r="C24" s="331"/>
      <c r="D24" s="932"/>
      <c r="E24" s="933"/>
      <c r="F24" s="929"/>
      <c r="G24" s="310" t="s">
        <v>53</v>
      </c>
      <c r="H24" s="310"/>
      <c r="I24" s="310">
        <f t="shared" ref="I24:S24" si="11">VLOOKUP($A24&amp;$B24&amp;I$10,Base,9,FALSE)</f>
        <v>0</v>
      </c>
      <c r="J24" s="310">
        <f t="shared" si="11"/>
        <v>0</v>
      </c>
      <c r="K24" s="310">
        <f t="shared" si="11"/>
        <v>0</v>
      </c>
      <c r="L24" s="310">
        <f t="shared" si="11"/>
        <v>0</v>
      </c>
      <c r="M24" s="310">
        <f t="shared" si="11"/>
        <v>267796.65000000002</v>
      </c>
      <c r="N24" s="310">
        <f t="shared" si="11"/>
        <v>0</v>
      </c>
      <c r="O24" s="310">
        <f t="shared" si="11"/>
        <v>53559.33</v>
      </c>
      <c r="P24" s="310">
        <f t="shared" si="11"/>
        <v>53559.33</v>
      </c>
      <c r="Q24" s="310">
        <f t="shared" si="11"/>
        <v>0</v>
      </c>
      <c r="R24" s="310">
        <f t="shared" si="11"/>
        <v>0</v>
      </c>
      <c r="S24" s="310">
        <f t="shared" si="11"/>
        <v>0</v>
      </c>
      <c r="T24" s="329">
        <f>SUM(H24:S24)</f>
        <v>374915.31000000006</v>
      </c>
      <c r="U24" s="935"/>
    </row>
    <row r="25" spans="1:21" ht="35.25" customHeight="1" x14ac:dyDescent="0.25">
      <c r="A25" s="311">
        <v>920201</v>
      </c>
      <c r="B25" s="737">
        <v>118002</v>
      </c>
      <c r="C25" s="333" t="s">
        <v>379</v>
      </c>
      <c r="D25" s="931" t="s">
        <v>400</v>
      </c>
      <c r="E25" s="933" t="s">
        <v>210</v>
      </c>
      <c r="F25" s="929">
        <f>SUM(H25:S25)</f>
        <v>584640</v>
      </c>
      <c r="G25" s="310" t="s">
        <v>52</v>
      </c>
      <c r="H25" s="310"/>
      <c r="I25" s="310">
        <f t="shared" ref="I25:S25" si="12">VLOOKUP($A25&amp;$B25&amp;I$10,Base,8,FALSE)</f>
        <v>0</v>
      </c>
      <c r="J25" s="310">
        <f t="shared" si="12"/>
        <v>97439.72</v>
      </c>
      <c r="K25" s="310">
        <f t="shared" si="12"/>
        <v>48719.86</v>
      </c>
      <c r="L25" s="310">
        <f t="shared" si="12"/>
        <v>48719.86</v>
      </c>
      <c r="M25" s="310">
        <f t="shared" si="12"/>
        <v>48719.86</v>
      </c>
      <c r="N25" s="310">
        <f t="shared" si="12"/>
        <v>48719.86</v>
      </c>
      <c r="O25" s="310">
        <f t="shared" si="12"/>
        <v>0</v>
      </c>
      <c r="P25" s="310">
        <f t="shared" si="12"/>
        <v>0</v>
      </c>
      <c r="Q25" s="310">
        <f t="shared" si="12"/>
        <v>146160.84</v>
      </c>
      <c r="R25" s="310">
        <f t="shared" si="12"/>
        <v>48720</v>
      </c>
      <c r="S25" s="310">
        <f t="shared" si="12"/>
        <v>97440</v>
      </c>
      <c r="T25" s="67">
        <f ca="1">SUM($H25:(OFFSET($H25,0,AVANCE060826!$T$2)))</f>
        <v>438480</v>
      </c>
      <c r="U25" s="334"/>
    </row>
    <row r="26" spans="1:21" ht="35.25" customHeight="1" x14ac:dyDescent="0.25">
      <c r="A26" s="311">
        <v>920201</v>
      </c>
      <c r="B26" s="737">
        <v>118002</v>
      </c>
      <c r="C26" s="335"/>
      <c r="D26" s="932"/>
      <c r="E26" s="933"/>
      <c r="F26" s="929"/>
      <c r="G26" s="310" t="s">
        <v>53</v>
      </c>
      <c r="H26" s="310"/>
      <c r="I26" s="310">
        <f t="shared" ref="I26:S26" si="13">VLOOKUP($A26&amp;$B26&amp;I$10,Base,9,FALSE)</f>
        <v>0</v>
      </c>
      <c r="J26" s="310">
        <f t="shared" si="13"/>
        <v>97439.72</v>
      </c>
      <c r="K26" s="310">
        <f t="shared" si="13"/>
        <v>48719.86</v>
      </c>
      <c r="L26" s="310">
        <f t="shared" si="13"/>
        <v>48719.86</v>
      </c>
      <c r="M26" s="310">
        <f t="shared" si="13"/>
        <v>48719.86</v>
      </c>
      <c r="N26" s="310">
        <f t="shared" si="13"/>
        <v>48719.86</v>
      </c>
      <c r="O26" s="310">
        <f t="shared" si="13"/>
        <v>0</v>
      </c>
      <c r="P26" s="310">
        <f t="shared" si="13"/>
        <v>0</v>
      </c>
      <c r="Q26" s="310">
        <f t="shared" si="13"/>
        <v>0</v>
      </c>
      <c r="R26" s="310">
        <f t="shared" si="13"/>
        <v>0</v>
      </c>
      <c r="S26" s="310">
        <f t="shared" si="13"/>
        <v>0</v>
      </c>
      <c r="T26" s="329">
        <f>SUM(H26:S26)</f>
        <v>292319.15999999997</v>
      </c>
      <c r="U26" s="334"/>
    </row>
    <row r="27" spans="1:21" ht="39.75" hidden="1" customHeight="1" x14ac:dyDescent="0.25">
      <c r="A27" s="311">
        <v>920201</v>
      </c>
      <c r="B27" s="737">
        <v>119101</v>
      </c>
      <c r="C27" s="336" t="s">
        <v>402</v>
      </c>
      <c r="D27" s="931" t="s">
        <v>403</v>
      </c>
      <c r="E27" s="933" t="s">
        <v>404</v>
      </c>
      <c r="F27" s="929"/>
      <c r="G27" s="310" t="s">
        <v>52</v>
      </c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185">
        <f>SUM(H27:S27)</f>
        <v>0</v>
      </c>
      <c r="U27" s="934"/>
    </row>
    <row r="28" spans="1:21" ht="42.75" hidden="1" customHeight="1" x14ac:dyDescent="0.25">
      <c r="A28" s="311">
        <v>920201</v>
      </c>
      <c r="B28" s="737">
        <v>119101</v>
      </c>
      <c r="C28" s="336"/>
      <c r="D28" s="932"/>
      <c r="E28" s="933"/>
      <c r="F28" s="929"/>
      <c r="G28" s="310" t="s">
        <v>53</v>
      </c>
      <c r="H28" s="310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185">
        <f>SUM(H28:S28)</f>
        <v>0</v>
      </c>
      <c r="U28" s="935"/>
    </row>
    <row r="29" spans="1:21" ht="42.75" customHeight="1" x14ac:dyDescent="0.25">
      <c r="A29" s="311">
        <v>920201</v>
      </c>
      <c r="B29" s="737">
        <v>119101</v>
      </c>
      <c r="C29" s="336" t="s">
        <v>402</v>
      </c>
      <c r="D29" s="931" t="s">
        <v>405</v>
      </c>
      <c r="E29" s="933" t="s">
        <v>404</v>
      </c>
      <c r="F29" s="929">
        <f>SUM(H29:S29)</f>
        <v>765600</v>
      </c>
      <c r="G29" s="310" t="s">
        <v>52</v>
      </c>
      <c r="H29" s="310"/>
      <c r="I29" s="310">
        <f t="shared" ref="I29:S29" si="14">VLOOKUP($A29&amp;$B29&amp;I$10,Base,8,FALSE)</f>
        <v>0</v>
      </c>
      <c r="J29" s="310">
        <f t="shared" si="14"/>
        <v>127600</v>
      </c>
      <c r="K29" s="310">
        <f t="shared" si="14"/>
        <v>63800</v>
      </c>
      <c r="L29" s="310">
        <f t="shared" si="14"/>
        <v>63800</v>
      </c>
      <c r="M29" s="310">
        <f t="shared" si="14"/>
        <v>63800</v>
      </c>
      <c r="N29" s="310">
        <f t="shared" si="14"/>
        <v>63800</v>
      </c>
      <c r="O29" s="310">
        <f t="shared" si="14"/>
        <v>63800</v>
      </c>
      <c r="P29" s="310">
        <f t="shared" si="14"/>
        <v>63800</v>
      </c>
      <c r="Q29" s="310">
        <f t="shared" si="14"/>
        <v>63800</v>
      </c>
      <c r="R29" s="310">
        <f t="shared" si="14"/>
        <v>63800</v>
      </c>
      <c r="S29" s="310">
        <f t="shared" si="14"/>
        <v>127600</v>
      </c>
      <c r="T29" s="67">
        <f ca="1">SUM($H29:(OFFSET($H29,0,AVANCE060826!$T$2)))</f>
        <v>574200</v>
      </c>
      <c r="U29" s="934"/>
    </row>
    <row r="30" spans="1:21" ht="42.75" customHeight="1" x14ac:dyDescent="0.25">
      <c r="A30" s="311">
        <v>920201</v>
      </c>
      <c r="B30" s="737">
        <v>119101</v>
      </c>
      <c r="C30" s="336"/>
      <c r="D30" s="932"/>
      <c r="E30" s="933"/>
      <c r="F30" s="929"/>
      <c r="G30" s="310" t="s">
        <v>53</v>
      </c>
      <c r="H30" s="310"/>
      <c r="I30" s="310">
        <f t="shared" ref="I30:S30" si="15">VLOOKUP($A30&amp;$B30&amp;I$10,Base,9,FALSE)</f>
        <v>0</v>
      </c>
      <c r="J30" s="310">
        <f t="shared" si="15"/>
        <v>127600</v>
      </c>
      <c r="K30" s="310">
        <f t="shared" si="15"/>
        <v>63800</v>
      </c>
      <c r="L30" s="310">
        <f t="shared" si="15"/>
        <v>63800</v>
      </c>
      <c r="M30" s="310">
        <f t="shared" si="15"/>
        <v>63800</v>
      </c>
      <c r="N30" s="310">
        <f t="shared" si="15"/>
        <v>63800</v>
      </c>
      <c r="O30" s="310">
        <f t="shared" si="15"/>
        <v>63800</v>
      </c>
      <c r="P30" s="310">
        <f t="shared" si="15"/>
        <v>63800</v>
      </c>
      <c r="Q30" s="310">
        <f t="shared" si="15"/>
        <v>0</v>
      </c>
      <c r="R30" s="310">
        <f t="shared" si="15"/>
        <v>0</v>
      </c>
      <c r="S30" s="310">
        <f t="shared" si="15"/>
        <v>0</v>
      </c>
      <c r="T30" s="185">
        <f>SUM(H30:S30)</f>
        <v>510400</v>
      </c>
      <c r="U30" s="935"/>
    </row>
    <row r="31" spans="1:21" ht="35.25" hidden="1" customHeight="1" x14ac:dyDescent="0.25">
      <c r="A31" s="311">
        <v>150904</v>
      </c>
      <c r="B31" s="737">
        <v>118101</v>
      </c>
      <c r="C31" s="337" t="s">
        <v>396</v>
      </c>
      <c r="D31" s="939" t="s">
        <v>407</v>
      </c>
      <c r="E31" s="933" t="s">
        <v>408</v>
      </c>
      <c r="F31" s="929"/>
      <c r="G31" s="310" t="s">
        <v>52</v>
      </c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185">
        <f>SUM(H31:S31)</f>
        <v>0</v>
      </c>
      <c r="U31" s="934"/>
    </row>
    <row r="32" spans="1:21" ht="35.25" hidden="1" customHeight="1" x14ac:dyDescent="0.25">
      <c r="A32" s="311">
        <v>150904</v>
      </c>
      <c r="B32" s="737">
        <v>118101</v>
      </c>
      <c r="C32" s="338"/>
      <c r="D32" s="940"/>
      <c r="E32" s="933"/>
      <c r="F32" s="929"/>
      <c r="G32" s="310" t="s">
        <v>53</v>
      </c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185">
        <f>SUM(H32:S32)</f>
        <v>0</v>
      </c>
      <c r="U32" s="935"/>
    </row>
    <row r="33" spans="1:21" ht="35.25" customHeight="1" x14ac:dyDescent="0.25">
      <c r="A33" s="311">
        <v>150904</v>
      </c>
      <c r="B33" s="737">
        <v>118101</v>
      </c>
      <c r="C33" s="337" t="s">
        <v>396</v>
      </c>
      <c r="D33" s="939" t="s">
        <v>409</v>
      </c>
      <c r="E33" s="933" t="s">
        <v>410</v>
      </c>
      <c r="F33" s="929">
        <f>SUM(H33:S33)</f>
        <v>1252800</v>
      </c>
      <c r="G33" s="310" t="s">
        <v>52</v>
      </c>
      <c r="H33" s="310"/>
      <c r="I33" s="310">
        <f t="shared" ref="I33:S33" si="16">VLOOKUP($A33&amp;$B33&amp;I$10,Base,8,FALSE)</f>
        <v>0</v>
      </c>
      <c r="J33" s="310">
        <f t="shared" si="16"/>
        <v>208800</v>
      </c>
      <c r="K33" s="310">
        <f t="shared" si="16"/>
        <v>0</v>
      </c>
      <c r="L33" s="310">
        <f t="shared" si="16"/>
        <v>208800</v>
      </c>
      <c r="M33" s="310">
        <f t="shared" si="16"/>
        <v>104400</v>
      </c>
      <c r="N33" s="310">
        <f t="shared" si="16"/>
        <v>104400</v>
      </c>
      <c r="O33" s="310">
        <f t="shared" si="16"/>
        <v>104400</v>
      </c>
      <c r="P33" s="310">
        <f t="shared" si="16"/>
        <v>104400</v>
      </c>
      <c r="Q33" s="310">
        <f t="shared" si="16"/>
        <v>104400</v>
      </c>
      <c r="R33" s="310">
        <f t="shared" si="16"/>
        <v>104400</v>
      </c>
      <c r="S33" s="310">
        <f t="shared" si="16"/>
        <v>208800</v>
      </c>
      <c r="T33" s="67">
        <f ca="1">SUM($H33:(OFFSET($H33,0,AVANCE060826!$T$2)))</f>
        <v>939600</v>
      </c>
      <c r="U33" s="934"/>
    </row>
    <row r="34" spans="1:21" ht="35.25" customHeight="1" x14ac:dyDescent="0.25">
      <c r="A34" s="311">
        <v>150904</v>
      </c>
      <c r="B34" s="737">
        <v>118101</v>
      </c>
      <c r="C34" s="338"/>
      <c r="D34" s="940"/>
      <c r="E34" s="933"/>
      <c r="F34" s="929"/>
      <c r="G34" s="310" t="s">
        <v>53</v>
      </c>
      <c r="H34" s="310"/>
      <c r="I34" s="310">
        <f t="shared" ref="I34:S34" si="17">VLOOKUP($A34&amp;$B34&amp;I$10,Base,9,FALSE)</f>
        <v>0</v>
      </c>
      <c r="J34" s="310">
        <f t="shared" si="17"/>
        <v>208800</v>
      </c>
      <c r="K34" s="310">
        <f t="shared" si="17"/>
        <v>0</v>
      </c>
      <c r="L34" s="310">
        <f t="shared" si="17"/>
        <v>208800</v>
      </c>
      <c r="M34" s="310">
        <f t="shared" si="17"/>
        <v>104400</v>
      </c>
      <c r="N34" s="310">
        <f t="shared" si="17"/>
        <v>104400</v>
      </c>
      <c r="O34" s="310">
        <f t="shared" si="17"/>
        <v>104400</v>
      </c>
      <c r="P34" s="310">
        <f t="shared" si="17"/>
        <v>104400</v>
      </c>
      <c r="Q34" s="310">
        <f t="shared" si="17"/>
        <v>0</v>
      </c>
      <c r="R34" s="310">
        <f t="shared" si="17"/>
        <v>0</v>
      </c>
      <c r="S34" s="310">
        <f t="shared" si="17"/>
        <v>0</v>
      </c>
      <c r="T34" s="185">
        <f>SUM(H34:S34)</f>
        <v>835200</v>
      </c>
      <c r="U34" s="935"/>
    </row>
    <row r="35" spans="1:21" ht="35.25" customHeight="1" x14ac:dyDescent="0.25">
      <c r="A35" s="738">
        <v>920201</v>
      </c>
      <c r="B35" s="737">
        <v>119111</v>
      </c>
      <c r="C35" s="337" t="s">
        <v>396</v>
      </c>
      <c r="D35" s="937" t="s">
        <v>412</v>
      </c>
      <c r="E35" s="933" t="s">
        <v>413</v>
      </c>
      <c r="F35" s="929">
        <f>SUM(H35:S35)</f>
        <v>835200</v>
      </c>
      <c r="G35" s="310" t="s">
        <v>52</v>
      </c>
      <c r="H35" s="310"/>
      <c r="I35" s="310">
        <f t="shared" ref="I35:S35" si="18">VLOOKUP($A35&amp;$B35&amp;I$10,Base,8,FALSE)</f>
        <v>0</v>
      </c>
      <c r="J35" s="310">
        <f t="shared" si="18"/>
        <v>139200</v>
      </c>
      <c r="K35" s="310">
        <f t="shared" si="18"/>
        <v>69600</v>
      </c>
      <c r="L35" s="310">
        <f t="shared" si="18"/>
        <v>69600</v>
      </c>
      <c r="M35" s="310">
        <f t="shared" si="18"/>
        <v>0</v>
      </c>
      <c r="N35" s="310">
        <f t="shared" si="18"/>
        <v>139200</v>
      </c>
      <c r="O35" s="310">
        <f t="shared" si="18"/>
        <v>69600</v>
      </c>
      <c r="P35" s="310">
        <f t="shared" si="18"/>
        <v>69600</v>
      </c>
      <c r="Q35" s="310">
        <f t="shared" si="18"/>
        <v>69600</v>
      </c>
      <c r="R35" s="310">
        <f t="shared" si="18"/>
        <v>69600</v>
      </c>
      <c r="S35" s="310">
        <f t="shared" si="18"/>
        <v>139200</v>
      </c>
      <c r="T35" s="67">
        <f ca="1">SUM($H35:(OFFSET($H35,0,AVANCE060826!$T$2)))</f>
        <v>626400</v>
      </c>
      <c r="U35" s="934"/>
    </row>
    <row r="36" spans="1:21" ht="35.25" customHeight="1" x14ac:dyDescent="0.25">
      <c r="A36" s="738">
        <v>920201</v>
      </c>
      <c r="B36" s="737">
        <v>119111</v>
      </c>
      <c r="C36" s="338"/>
      <c r="D36" s="938"/>
      <c r="E36" s="933"/>
      <c r="F36" s="929"/>
      <c r="G36" s="310" t="s">
        <v>53</v>
      </c>
      <c r="H36" s="310"/>
      <c r="I36" s="310">
        <f t="shared" ref="I36:S36" si="19">VLOOKUP($A36&amp;$B36&amp;I$10,Base,9,FALSE)</f>
        <v>0</v>
      </c>
      <c r="J36" s="310">
        <f t="shared" si="19"/>
        <v>139200</v>
      </c>
      <c r="K36" s="310">
        <f t="shared" si="19"/>
        <v>69600</v>
      </c>
      <c r="L36" s="310">
        <f t="shared" si="19"/>
        <v>69600</v>
      </c>
      <c r="M36" s="310">
        <f t="shared" si="19"/>
        <v>0</v>
      </c>
      <c r="N36" s="310">
        <f t="shared" si="19"/>
        <v>139200</v>
      </c>
      <c r="O36" s="310">
        <f t="shared" si="19"/>
        <v>69600</v>
      </c>
      <c r="P36" s="310">
        <f t="shared" si="19"/>
        <v>69600</v>
      </c>
      <c r="Q36" s="310">
        <f t="shared" si="19"/>
        <v>0</v>
      </c>
      <c r="R36" s="310">
        <f t="shared" si="19"/>
        <v>0</v>
      </c>
      <c r="S36" s="310">
        <f t="shared" si="19"/>
        <v>0</v>
      </c>
      <c r="T36" s="185">
        <f>SUM(H36:S36)</f>
        <v>556800</v>
      </c>
      <c r="U36" s="935"/>
    </row>
    <row r="37" spans="1:21" x14ac:dyDescent="0.25">
      <c r="A37" s="40">
        <v>9</v>
      </c>
      <c r="B37" s="4"/>
      <c r="C37" s="24">
        <f>COUNT(#REF!)</f>
        <v>0</v>
      </c>
      <c r="D37" s="7"/>
      <c r="E37" s="6"/>
      <c r="F37" s="176">
        <f>ROUNDUP(SUM(F13:F36),2)</f>
        <v>8160000</v>
      </c>
      <c r="G37" s="310" t="s">
        <v>52</v>
      </c>
      <c r="H37" s="339">
        <f t="shared" ref="H37:S38" si="20">+H35+H27+H23+H21+H19+H17+H15+H13+H25+H31+H29+H33</f>
        <v>0</v>
      </c>
      <c r="I37" s="339">
        <f t="shared" si="20"/>
        <v>0</v>
      </c>
      <c r="J37" s="339">
        <f t="shared" si="20"/>
        <v>1252877.23</v>
      </c>
      <c r="K37" s="339">
        <f t="shared" si="20"/>
        <v>522038.63</v>
      </c>
      <c r="L37" s="339">
        <f t="shared" si="20"/>
        <v>730838.62</v>
      </c>
      <c r="M37" s="339">
        <f t="shared" si="20"/>
        <v>824635.27000000014</v>
      </c>
      <c r="N37" s="339">
        <f t="shared" si="20"/>
        <v>628088.28</v>
      </c>
      <c r="O37" s="339">
        <f t="shared" si="20"/>
        <v>699228.42999999993</v>
      </c>
      <c r="P37" s="339">
        <f t="shared" si="20"/>
        <v>631278.09000000008</v>
      </c>
      <c r="Q37" s="339">
        <f t="shared" si="20"/>
        <v>831015.45000000007</v>
      </c>
      <c r="R37" s="339">
        <f t="shared" si="20"/>
        <v>680000</v>
      </c>
      <c r="S37" s="339">
        <f t="shared" si="20"/>
        <v>1360000</v>
      </c>
      <c r="T37" s="339">
        <f ca="1">+T35+T27+T23+T21+T19+T17+T15+T13+T25+T31+T29+T33</f>
        <v>6120000</v>
      </c>
      <c r="U37" s="5"/>
    </row>
    <row r="38" spans="1:21" ht="31.5" customHeight="1" x14ac:dyDescent="0.25">
      <c r="F38" s="3"/>
      <c r="G38" s="310" t="s">
        <v>53</v>
      </c>
      <c r="H38" s="339">
        <f t="shared" si="20"/>
        <v>0</v>
      </c>
      <c r="I38" s="339">
        <f t="shared" si="20"/>
        <v>0</v>
      </c>
      <c r="J38" s="339">
        <f t="shared" si="20"/>
        <v>1252877.23</v>
      </c>
      <c r="K38" s="339">
        <f t="shared" si="20"/>
        <v>522038.63</v>
      </c>
      <c r="L38" s="339">
        <f t="shared" si="20"/>
        <v>730838.62</v>
      </c>
      <c r="M38" s="339">
        <f t="shared" si="20"/>
        <v>824635.27000000014</v>
      </c>
      <c r="N38" s="339">
        <f t="shared" si="20"/>
        <v>628088.28</v>
      </c>
      <c r="O38" s="339">
        <f t="shared" si="20"/>
        <v>699228.42999999993</v>
      </c>
      <c r="P38" s="339">
        <f t="shared" si="20"/>
        <v>631278.09000000008</v>
      </c>
      <c r="Q38" s="339">
        <f t="shared" si="20"/>
        <v>0</v>
      </c>
      <c r="R38" s="339">
        <f t="shared" si="20"/>
        <v>0</v>
      </c>
      <c r="S38" s="339">
        <f t="shared" si="20"/>
        <v>0</v>
      </c>
      <c r="T38" s="339">
        <f>+T36+T28+T24+T22+T20+T18+T16+T14+T26+T32+T30+T34</f>
        <v>5288984.5500000007</v>
      </c>
      <c r="U38" s="70"/>
    </row>
    <row r="39" spans="1:21" ht="16.5" customHeight="1" x14ac:dyDescent="0.25">
      <c r="T39" s="3"/>
    </row>
    <row r="40" spans="1:21" x14ac:dyDescent="0.25">
      <c r="T40" s="192"/>
    </row>
    <row r="41" spans="1:21" x14ac:dyDescent="0.25">
      <c r="T41" s="3"/>
    </row>
    <row r="42" spans="1:21" x14ac:dyDescent="0.25">
      <c r="T42" s="3"/>
    </row>
  </sheetData>
  <autoFilter ref="B12:B38"/>
  <mergeCells count="67">
    <mergeCell ref="U35:U36"/>
    <mergeCell ref="D35:D36"/>
    <mergeCell ref="E35:E36"/>
    <mergeCell ref="F35:F36"/>
    <mergeCell ref="U31:U32"/>
    <mergeCell ref="D33:D34"/>
    <mergeCell ref="E33:E34"/>
    <mergeCell ref="F33:F34"/>
    <mergeCell ref="U33:U34"/>
    <mergeCell ref="D31:D32"/>
    <mergeCell ref="E31:E32"/>
    <mergeCell ref="F31:F32"/>
    <mergeCell ref="U27:U28"/>
    <mergeCell ref="D29:D30"/>
    <mergeCell ref="E29:E30"/>
    <mergeCell ref="F29:F30"/>
    <mergeCell ref="U29:U30"/>
    <mergeCell ref="D27:D28"/>
    <mergeCell ref="E27:E28"/>
    <mergeCell ref="F27:F28"/>
    <mergeCell ref="U23:U24"/>
    <mergeCell ref="D25:D26"/>
    <mergeCell ref="E25:E26"/>
    <mergeCell ref="F25:F26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49" fitToHeight="21" orientation="landscape" r:id="rId1"/>
  <ignoredErrors>
    <ignoredError sqref="F13:F36 I13:T13 I35:T36 T14:T34" unlockedFormula="1"/>
    <ignoredError sqref="I14:S34" formula="1" unlockedFormula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topLeftCell="A7" zoomScaleNormal="100" zoomScaleSheetLayoutView="85" zoomScalePageLayoutView="80" workbookViewId="0">
      <pane xSplit="1" topLeftCell="E1" activePane="topRight" state="frozen"/>
      <selection activeCell="A4" sqref="A4"/>
      <selection pane="topRight" activeCell="O12" sqref="O12:O16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customWidth="1"/>
    <col min="10" max="10" width="13" customWidth="1"/>
    <col min="11" max="11" width="11.7109375" hidden="1" customWidth="1"/>
    <col min="12" max="12" width="10.28515625" hidden="1" customWidth="1"/>
    <col min="13" max="13" width="47.140625" customWidth="1"/>
    <col min="14" max="14" width="1.2851562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131</v>
      </c>
      <c r="H8" s="9"/>
      <c r="I8" s="9"/>
      <c r="K8" s="9"/>
      <c r="L8" s="9"/>
    </row>
    <row r="9" spans="1:13" ht="18.75" thickBot="1" x14ac:dyDescent="0.3">
      <c r="D9" s="10"/>
      <c r="I9" s="9"/>
      <c r="L9" s="9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941" t="s">
        <v>26</v>
      </c>
      <c r="G10" s="837" t="s">
        <v>89</v>
      </c>
      <c r="H10" s="832" t="s">
        <v>90</v>
      </c>
      <c r="I10" s="834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942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67"/>
    </row>
    <row r="12" spans="1:13" ht="57.75" customHeight="1" thickTop="1" x14ac:dyDescent="0.25">
      <c r="A12" s="154">
        <v>122409</v>
      </c>
      <c r="B12" s="308">
        <v>200200</v>
      </c>
      <c r="C12" s="344" t="s">
        <v>422</v>
      </c>
      <c r="D12" s="240" t="s">
        <v>423</v>
      </c>
      <c r="E12" s="349" t="s">
        <v>424</v>
      </c>
      <c r="F12" s="350">
        <f>GRO_Calendario!F13</f>
        <v>84369.12000000001</v>
      </c>
      <c r="G12" s="351">
        <f>+F12/12</f>
        <v>7030.7600000000011</v>
      </c>
      <c r="H12" s="65">
        <f ca="1">GRO_Calendario!T13</f>
        <v>63276.840000000011</v>
      </c>
      <c r="I12" s="65">
        <f>GRO_Calendario!T14</f>
        <v>56246.070000000007</v>
      </c>
      <c r="J12" s="73">
        <f t="shared" ref="J12:J19" ca="1" si="0">H12-I12</f>
        <v>7030.7700000000041</v>
      </c>
      <c r="K12" s="74">
        <f t="shared" ref="K12:K17" ca="1" si="1">+J12/H12*100</f>
        <v>11.111126914681584</v>
      </c>
      <c r="L12" s="75">
        <f t="shared" ref="L12:L17" ca="1" si="2">+I12/H12*100</f>
        <v>88.888873085318423</v>
      </c>
      <c r="M12" s="352" t="s">
        <v>974</v>
      </c>
    </row>
    <row r="13" spans="1:13" ht="52.5" customHeight="1" x14ac:dyDescent="0.25">
      <c r="A13" s="159">
        <v>122401</v>
      </c>
      <c r="B13" s="311">
        <v>200201</v>
      </c>
      <c r="C13" s="344" t="s">
        <v>426</v>
      </c>
      <c r="D13" s="240" t="s">
        <v>427</v>
      </c>
      <c r="E13" s="349" t="s">
        <v>428</v>
      </c>
      <c r="F13" s="350">
        <f>GRO_Calendario!F15</f>
        <v>69600</v>
      </c>
      <c r="G13" s="351">
        <f>+F13/12</f>
        <v>5800</v>
      </c>
      <c r="H13" s="65">
        <f ca="1">GRO_Calendario!T15</f>
        <v>52200</v>
      </c>
      <c r="I13" s="65">
        <f>GRO_Calendario!T16</f>
        <v>46398.38</v>
      </c>
      <c r="J13" s="73">
        <f t="shared" ca="1" si="0"/>
        <v>5801.6200000000026</v>
      </c>
      <c r="K13" s="74">
        <f t="shared" ca="1" si="1"/>
        <v>11.114214559386978</v>
      </c>
      <c r="L13" s="75">
        <f t="shared" ca="1" si="2"/>
        <v>88.88578544061302</v>
      </c>
      <c r="M13" s="352" t="s">
        <v>974</v>
      </c>
    </row>
    <row r="14" spans="1:13" ht="89.25" customHeight="1" x14ac:dyDescent="0.25">
      <c r="A14" s="345">
        <v>122415</v>
      </c>
      <c r="B14" s="346">
        <v>200200</v>
      </c>
      <c r="C14" s="347" t="s">
        <v>430</v>
      </c>
      <c r="D14" s="353" t="s">
        <v>431</v>
      </c>
      <c r="E14" s="349" t="s">
        <v>432</v>
      </c>
      <c r="F14" s="350">
        <f>GRO_Calendario!F17</f>
        <v>59034.720000000001</v>
      </c>
      <c r="G14" s="351">
        <f>+F14/12</f>
        <v>4919.5600000000004</v>
      </c>
      <c r="H14" s="65">
        <f ca="1">GRO_Calendario!T17</f>
        <v>44276.04</v>
      </c>
      <c r="I14" s="65">
        <f>GRO_Calendario!T18</f>
        <v>39356.47</v>
      </c>
      <c r="J14" s="73">
        <f t="shared" ca="1" si="0"/>
        <v>4919.57</v>
      </c>
      <c r="K14" s="74">
        <f t="shared" ca="1" si="1"/>
        <v>11.111133696690127</v>
      </c>
      <c r="L14" s="75">
        <f t="shared" ca="1" si="2"/>
        <v>88.888866303309882</v>
      </c>
      <c r="M14" s="352" t="s">
        <v>974</v>
      </c>
    </row>
    <row r="15" spans="1:13" ht="43.5" customHeight="1" x14ac:dyDescent="0.25">
      <c r="A15" s="159">
        <v>120201</v>
      </c>
      <c r="B15" s="311">
        <v>200201</v>
      </c>
      <c r="C15" s="268" t="s">
        <v>434</v>
      </c>
      <c r="D15" s="240" t="s">
        <v>435</v>
      </c>
      <c r="E15" s="349" t="s">
        <v>436</v>
      </c>
      <c r="F15" s="350">
        <f>GRO_Calendario!F19</f>
        <v>76560</v>
      </c>
      <c r="G15" s="351">
        <f>5500*1.16</f>
        <v>6380</v>
      </c>
      <c r="H15" s="65">
        <f ca="1">GRO_Calendario!T19</f>
        <v>57420.000000000007</v>
      </c>
      <c r="I15" s="65">
        <f>GRO_Calendario!T20</f>
        <v>51038.390000000007</v>
      </c>
      <c r="J15" s="73">
        <f t="shared" ca="1" si="0"/>
        <v>6381.6100000000006</v>
      </c>
      <c r="K15" s="74">
        <f t="shared" ca="1" si="1"/>
        <v>11.113915012190875</v>
      </c>
      <c r="L15" s="75">
        <f t="shared" ca="1" si="2"/>
        <v>88.886084987809127</v>
      </c>
      <c r="M15" s="352" t="s">
        <v>974</v>
      </c>
    </row>
    <row r="16" spans="1:13" ht="47.25" customHeight="1" thickBot="1" x14ac:dyDescent="0.3">
      <c r="A16" s="159">
        <v>126303</v>
      </c>
      <c r="B16" s="311">
        <v>320200</v>
      </c>
      <c r="C16" s="344" t="s">
        <v>437</v>
      </c>
      <c r="D16" s="143" t="s">
        <v>438</v>
      </c>
      <c r="E16" s="354" t="s">
        <v>439</v>
      </c>
      <c r="F16" s="350">
        <f>GRO_Calendario!F21</f>
        <v>321552</v>
      </c>
      <c r="G16" s="356">
        <f>+F16/12</f>
        <v>26796</v>
      </c>
      <c r="H16" s="65">
        <f ca="1">GRO_Calendario!T21</f>
        <v>241164</v>
      </c>
      <c r="I16" s="65">
        <f>GRO_Calendario!T22</f>
        <v>214368</v>
      </c>
      <c r="J16" s="81">
        <f t="shared" ca="1" si="0"/>
        <v>26796</v>
      </c>
      <c r="K16" s="82">
        <f t="shared" ca="1" si="1"/>
        <v>11.111111111111111</v>
      </c>
      <c r="L16" s="75">
        <f t="shared" ca="1" si="2"/>
        <v>88.888888888888886</v>
      </c>
      <c r="M16" s="352" t="s">
        <v>974</v>
      </c>
    </row>
    <row r="17" spans="1:13" ht="78.75" hidden="1" customHeight="1" x14ac:dyDescent="0.25">
      <c r="A17" s="313">
        <v>125305</v>
      </c>
      <c r="B17" s="311">
        <v>310203</v>
      </c>
      <c r="C17" s="268" t="s">
        <v>437</v>
      </c>
      <c r="D17" s="357" t="s">
        <v>441</v>
      </c>
      <c r="E17" s="358" t="s">
        <v>442</v>
      </c>
      <c r="F17" s="359"/>
      <c r="G17" s="360"/>
      <c r="H17" s="127"/>
      <c r="I17" s="124"/>
      <c r="J17" s="224">
        <f t="shared" si="0"/>
        <v>0</v>
      </c>
      <c r="K17" s="361" t="e">
        <f t="shared" si="1"/>
        <v>#DIV/0!</v>
      </c>
      <c r="L17" s="239" t="e">
        <f t="shared" si="2"/>
        <v>#DIV/0!</v>
      </c>
      <c r="M17" s="362"/>
    </row>
    <row r="18" spans="1:13" ht="102.75" hidden="1" customHeight="1" thickBot="1" x14ac:dyDescent="0.3">
      <c r="A18" s="313">
        <v>129105</v>
      </c>
      <c r="B18" s="311">
        <v>900110</v>
      </c>
      <c r="C18" s="314" t="s">
        <v>443</v>
      </c>
      <c r="D18" s="143" t="s">
        <v>444</v>
      </c>
      <c r="E18" s="354" t="s">
        <v>445</v>
      </c>
      <c r="F18" s="355"/>
      <c r="G18" s="356"/>
      <c r="H18" s="128">
        <f>+[37]GRO!$T$24</f>
        <v>0</v>
      </c>
      <c r="I18" s="69">
        <f>+[37]GRO!$T$25</f>
        <v>0</v>
      </c>
      <c r="J18" s="81">
        <f t="shared" si="0"/>
        <v>0</v>
      </c>
      <c r="K18" s="82">
        <v>0</v>
      </c>
      <c r="L18" s="83">
        <v>0</v>
      </c>
      <c r="M18" s="363" t="s">
        <v>446</v>
      </c>
    </row>
    <row r="19" spans="1:13" ht="15.75" thickBot="1" x14ac:dyDescent="0.3">
      <c r="A19" s="4"/>
      <c r="B19" s="4">
        <v>5</v>
      </c>
      <c r="C19" s="24">
        <f>COUNT(#REF!)</f>
        <v>0</v>
      </c>
      <c r="D19" s="7"/>
      <c r="E19" s="6"/>
      <c r="F19" s="32">
        <f>SUM(F12:F18)</f>
        <v>611115.84</v>
      </c>
      <c r="G19" s="32">
        <f>SUM(G12:G18)</f>
        <v>50926.320000000007</v>
      </c>
      <c r="H19" s="32">
        <f ca="1">SUM(H12:H18)</f>
        <v>458336.88</v>
      </c>
      <c r="I19" s="32">
        <f>SUM(I12:I18)</f>
        <v>407407.31000000006</v>
      </c>
      <c r="J19" s="32">
        <f t="shared" ca="1" si="0"/>
        <v>50929.569999999949</v>
      </c>
      <c r="K19" s="150">
        <f ca="1">+J19/H19*100</f>
        <v>11.111820196533159</v>
      </c>
      <c r="L19" s="151">
        <f ca="1">+I19/H19*100</f>
        <v>88.888179803466841</v>
      </c>
      <c r="M19" s="5"/>
    </row>
    <row r="20" spans="1:13" ht="15" customHeight="1" x14ac:dyDescent="0.25">
      <c r="F20" s="3"/>
      <c r="G20" s="3"/>
      <c r="H20" s="2"/>
      <c r="I20" s="2"/>
      <c r="J20" s="2"/>
      <c r="K20" s="2"/>
      <c r="L20" s="2"/>
      <c r="M20" s="857"/>
    </row>
    <row r="21" spans="1:13" ht="31.5" customHeight="1" x14ac:dyDescent="0.25">
      <c r="E21" s="364"/>
      <c r="H21" s="2"/>
      <c r="I21" s="2"/>
      <c r="J21" s="2"/>
      <c r="K21" s="2"/>
      <c r="L21" s="2"/>
      <c r="M21" s="857"/>
    </row>
    <row r="22" spans="1:13" ht="31.5" customHeight="1" x14ac:dyDescent="0.25"/>
  </sheetData>
  <mergeCells count="12">
    <mergeCell ref="M10:M11"/>
    <mergeCell ref="M20:M2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4" fitToHeight="2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view="pageBreakPreview" zoomScale="80" zoomScaleNormal="100" zoomScaleSheetLayoutView="80" zoomScalePageLayoutView="80" workbookViewId="0">
      <pane xSplit="7" ySplit="12" topLeftCell="R13" activePane="bottomRight" state="frozen"/>
      <selection pane="topRight" activeCell="H1" sqref="H1"/>
      <selection pane="bottomLeft" activeCell="A12" sqref="A12"/>
      <selection pane="bottomRight" activeCell="W13" sqref="W13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4" style="1" customWidth="1"/>
    <col min="6" max="19" width="15" customWidth="1"/>
    <col min="20" max="20" width="19.140625" customWidth="1"/>
    <col min="21" max="21" width="41.7109375" customWidth="1"/>
    <col min="22" max="22" width="2.8554687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20.25" customHeight="1" x14ac:dyDescent="0.25">
      <c r="D8" s="39" t="s">
        <v>31</v>
      </c>
      <c r="E8" s="10" t="s">
        <v>131</v>
      </c>
      <c r="S8" s="9"/>
      <c r="T8" s="9"/>
    </row>
    <row r="9" spans="1:21" ht="20.25" customHeight="1" thickBot="1" x14ac:dyDescent="0.3">
      <c r="D9" s="39"/>
      <c r="E9" s="10"/>
      <c r="S9" s="9"/>
      <c r="T9" s="9"/>
    </row>
    <row r="10" spans="1:21" ht="18.75" hidden="1" thickBot="1" x14ac:dyDescent="0.3">
      <c r="D10" s="10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89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77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7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77"/>
      <c r="U12" s="877"/>
    </row>
    <row r="13" spans="1:21" ht="36.75" customHeight="1" thickTop="1" thickBot="1" x14ac:dyDescent="0.3">
      <c r="A13" s="308">
        <v>200200</v>
      </c>
      <c r="B13" s="154">
        <v>122409</v>
      </c>
      <c r="C13" s="344" t="s">
        <v>422</v>
      </c>
      <c r="D13" s="873" t="s">
        <v>423</v>
      </c>
      <c r="E13" s="943" t="s">
        <v>424</v>
      </c>
      <c r="F13" s="918">
        <f>SUM(H13:S13)</f>
        <v>84369.12000000001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0</v>
      </c>
      <c r="K13" s="166">
        <f t="shared" si="0"/>
        <v>0</v>
      </c>
      <c r="L13" s="166">
        <f t="shared" si="0"/>
        <v>0</v>
      </c>
      <c r="M13" s="166">
        <f t="shared" si="0"/>
        <v>28123.05</v>
      </c>
      <c r="N13" s="166">
        <f t="shared" si="0"/>
        <v>7030.77</v>
      </c>
      <c r="O13" s="166">
        <f t="shared" si="0"/>
        <v>14061.48</v>
      </c>
      <c r="P13" s="166">
        <f t="shared" si="0"/>
        <v>7030.77</v>
      </c>
      <c r="Q13" s="166">
        <f t="shared" si="0"/>
        <v>7030.77</v>
      </c>
      <c r="R13" s="166">
        <f t="shared" si="0"/>
        <v>7030.76</v>
      </c>
      <c r="S13" s="166">
        <f t="shared" si="0"/>
        <v>14061.52</v>
      </c>
      <c r="T13" s="67">
        <f ca="1">SUM($H13:(OFFSET($H13,0,AVANCE060826!$T$2)))</f>
        <v>63276.840000000011</v>
      </c>
      <c r="U13" s="903" t="s">
        <v>425</v>
      </c>
    </row>
    <row r="14" spans="1:21" ht="30.75" customHeight="1" thickTop="1" x14ac:dyDescent="0.25">
      <c r="A14" s="308">
        <v>200200</v>
      </c>
      <c r="B14" s="154">
        <v>122409</v>
      </c>
      <c r="C14" s="344"/>
      <c r="D14" s="873"/>
      <c r="E14" s="943"/>
      <c r="F14" s="918"/>
      <c r="G14" s="166" t="s">
        <v>53</v>
      </c>
      <c r="H14" s="166"/>
      <c r="I14" s="310">
        <f t="shared" ref="I14:S14" si="1">VLOOKUP($A14&amp;$B14&amp;I$10,Base,9,FALSE)</f>
        <v>0</v>
      </c>
      <c r="J14" s="310">
        <f t="shared" si="1"/>
        <v>0</v>
      </c>
      <c r="K14" s="310">
        <f t="shared" si="1"/>
        <v>0</v>
      </c>
      <c r="L14" s="310">
        <f t="shared" si="1"/>
        <v>0</v>
      </c>
      <c r="M14" s="310">
        <f t="shared" si="1"/>
        <v>28123.05</v>
      </c>
      <c r="N14" s="310">
        <f t="shared" si="1"/>
        <v>7030.77</v>
      </c>
      <c r="O14" s="310">
        <f t="shared" si="1"/>
        <v>14061.48</v>
      </c>
      <c r="P14" s="310">
        <f t="shared" si="1"/>
        <v>7030.77</v>
      </c>
      <c r="Q14" s="310">
        <f t="shared" si="1"/>
        <v>0</v>
      </c>
      <c r="R14" s="310">
        <f t="shared" si="1"/>
        <v>0</v>
      </c>
      <c r="S14" s="310">
        <f t="shared" si="1"/>
        <v>0</v>
      </c>
      <c r="T14" s="67">
        <f t="shared" ref="T14:T24" si="2">SUM(H14:S14)</f>
        <v>56246.070000000007</v>
      </c>
      <c r="U14" s="903"/>
    </row>
    <row r="15" spans="1:21" ht="36.75" customHeight="1" x14ac:dyDescent="0.25">
      <c r="A15" s="311">
        <v>200201</v>
      </c>
      <c r="B15" s="159">
        <v>122401</v>
      </c>
      <c r="C15" s="344" t="s">
        <v>426</v>
      </c>
      <c r="D15" s="873" t="s">
        <v>427</v>
      </c>
      <c r="E15" s="943" t="s">
        <v>428</v>
      </c>
      <c r="F15" s="918">
        <f>SUM(H15:S15)</f>
        <v>69600</v>
      </c>
      <c r="G15" s="166" t="s">
        <v>52</v>
      </c>
      <c r="H15" s="166"/>
      <c r="I15" s="166">
        <f t="shared" ref="I15:S15" si="3">VLOOKUP($A15&amp;$B15&amp;I$10,Base,8,FALSE)</f>
        <v>0</v>
      </c>
      <c r="J15" s="166">
        <f t="shared" si="3"/>
        <v>0</v>
      </c>
      <c r="K15" s="166">
        <f t="shared" si="3"/>
        <v>0</v>
      </c>
      <c r="L15" s="166">
        <f t="shared" si="3"/>
        <v>0</v>
      </c>
      <c r="M15" s="166">
        <f t="shared" si="3"/>
        <v>23199.19</v>
      </c>
      <c r="N15" s="166">
        <f t="shared" si="3"/>
        <v>0</v>
      </c>
      <c r="O15" s="166">
        <f t="shared" si="3"/>
        <v>0</v>
      </c>
      <c r="P15" s="166">
        <f t="shared" si="3"/>
        <v>23199.19</v>
      </c>
      <c r="Q15" s="166">
        <f t="shared" si="3"/>
        <v>5801.62</v>
      </c>
      <c r="R15" s="166">
        <f t="shared" si="3"/>
        <v>5800</v>
      </c>
      <c r="S15" s="166">
        <f t="shared" si="3"/>
        <v>11600</v>
      </c>
      <c r="T15" s="67">
        <f ca="1">SUM($H15:(OFFSET($H15,0,AVANCE060826!$T$2)))</f>
        <v>52200</v>
      </c>
      <c r="U15" s="903" t="s">
        <v>429</v>
      </c>
    </row>
    <row r="16" spans="1:21" ht="39" customHeight="1" x14ac:dyDescent="0.25">
      <c r="A16" s="311">
        <v>200201</v>
      </c>
      <c r="B16" s="159">
        <v>122401</v>
      </c>
      <c r="C16" s="344"/>
      <c r="D16" s="873"/>
      <c r="E16" s="943"/>
      <c r="F16" s="918"/>
      <c r="G16" s="166" t="s">
        <v>53</v>
      </c>
      <c r="H16" s="166"/>
      <c r="I16" s="310">
        <f t="shared" ref="I16:S16" si="4">VLOOKUP($A16&amp;$B16&amp;I$10,Base,9,FALSE)</f>
        <v>0</v>
      </c>
      <c r="J16" s="310">
        <f t="shared" si="4"/>
        <v>0</v>
      </c>
      <c r="K16" s="310">
        <f t="shared" si="4"/>
        <v>0</v>
      </c>
      <c r="L16" s="310">
        <f t="shared" si="4"/>
        <v>0</v>
      </c>
      <c r="M16" s="310">
        <f t="shared" si="4"/>
        <v>23199.19</v>
      </c>
      <c r="N16" s="310">
        <f t="shared" si="4"/>
        <v>0</v>
      </c>
      <c r="O16" s="310">
        <f t="shared" si="4"/>
        <v>0</v>
      </c>
      <c r="P16" s="310">
        <f t="shared" si="4"/>
        <v>23199.19</v>
      </c>
      <c r="Q16" s="310">
        <f t="shared" si="4"/>
        <v>0</v>
      </c>
      <c r="R16" s="310">
        <f t="shared" si="4"/>
        <v>0</v>
      </c>
      <c r="S16" s="310">
        <f t="shared" si="4"/>
        <v>0</v>
      </c>
      <c r="T16" s="67">
        <f t="shared" si="2"/>
        <v>46398.38</v>
      </c>
      <c r="U16" s="903"/>
    </row>
    <row r="17" spans="1:21" ht="50.25" customHeight="1" x14ac:dyDescent="0.25">
      <c r="A17" s="346">
        <v>200200</v>
      </c>
      <c r="B17" s="345">
        <v>122415</v>
      </c>
      <c r="C17" s="347" t="s">
        <v>430</v>
      </c>
      <c r="D17" s="944" t="s">
        <v>431</v>
      </c>
      <c r="E17" s="943" t="s">
        <v>432</v>
      </c>
      <c r="F17" s="918">
        <f>SUM(H17:S17)</f>
        <v>59034.720000000001</v>
      </c>
      <c r="G17" s="166" t="s">
        <v>52</v>
      </c>
      <c r="H17" s="166"/>
      <c r="I17" s="166">
        <f t="shared" ref="I17:S17" si="5">VLOOKUP($A17&amp;$B17&amp;I$10,Base,8,FALSE)</f>
        <v>0</v>
      </c>
      <c r="J17" s="166">
        <f t="shared" si="5"/>
        <v>0</v>
      </c>
      <c r="K17" s="166">
        <f t="shared" si="5"/>
        <v>0</v>
      </c>
      <c r="L17" s="166">
        <f t="shared" si="5"/>
        <v>14758.69</v>
      </c>
      <c r="M17" s="166">
        <f t="shared" si="5"/>
        <v>4919.5600000000004</v>
      </c>
      <c r="N17" s="166">
        <f t="shared" si="5"/>
        <v>4919.5600000000004</v>
      </c>
      <c r="O17" s="166">
        <f t="shared" si="5"/>
        <v>9839.1</v>
      </c>
      <c r="P17" s="166">
        <f t="shared" si="5"/>
        <v>4919.5600000000004</v>
      </c>
      <c r="Q17" s="166">
        <f t="shared" si="5"/>
        <v>4919.57</v>
      </c>
      <c r="R17" s="166">
        <f t="shared" si="5"/>
        <v>4919.5600000000004</v>
      </c>
      <c r="S17" s="166">
        <f t="shared" si="5"/>
        <v>9839.1200000000008</v>
      </c>
      <c r="T17" s="67">
        <f ca="1">SUM($H17:(OFFSET($H17,0,AVANCE060826!$T$2)))</f>
        <v>44276.04</v>
      </c>
      <c r="U17" s="903" t="s">
        <v>433</v>
      </c>
    </row>
    <row r="18" spans="1:21" ht="38.25" customHeight="1" x14ac:dyDescent="0.25">
      <c r="A18" s="346">
        <v>200200</v>
      </c>
      <c r="B18" s="345">
        <v>122415</v>
      </c>
      <c r="C18" s="347"/>
      <c r="D18" s="944"/>
      <c r="E18" s="943"/>
      <c r="F18" s="918"/>
      <c r="G18" s="166" t="s">
        <v>53</v>
      </c>
      <c r="H18" s="166"/>
      <c r="I18" s="310">
        <f t="shared" ref="I18:S18" si="6">VLOOKUP($A18&amp;$B18&amp;I$10,Base,9,FALSE)</f>
        <v>0</v>
      </c>
      <c r="J18" s="310">
        <f t="shared" si="6"/>
        <v>0</v>
      </c>
      <c r="K18" s="310">
        <f t="shared" si="6"/>
        <v>0</v>
      </c>
      <c r="L18" s="310">
        <f t="shared" si="6"/>
        <v>14758.69</v>
      </c>
      <c r="M18" s="310">
        <f t="shared" si="6"/>
        <v>4919.5600000000004</v>
      </c>
      <c r="N18" s="310">
        <f t="shared" si="6"/>
        <v>4919.5600000000004</v>
      </c>
      <c r="O18" s="310">
        <f t="shared" si="6"/>
        <v>9839.1</v>
      </c>
      <c r="P18" s="310">
        <f t="shared" si="6"/>
        <v>4919.5600000000004</v>
      </c>
      <c r="Q18" s="310">
        <f t="shared" si="6"/>
        <v>0</v>
      </c>
      <c r="R18" s="310">
        <f t="shared" si="6"/>
        <v>0</v>
      </c>
      <c r="S18" s="310">
        <f t="shared" si="6"/>
        <v>0</v>
      </c>
      <c r="T18" s="67">
        <f t="shared" si="2"/>
        <v>39356.47</v>
      </c>
      <c r="U18" s="903"/>
    </row>
    <row r="19" spans="1:21" ht="43.5" customHeight="1" x14ac:dyDescent="0.25">
      <c r="A19" s="311">
        <v>200201</v>
      </c>
      <c r="B19" s="159">
        <v>120201</v>
      </c>
      <c r="C19" s="268" t="s">
        <v>434</v>
      </c>
      <c r="D19" s="873" t="s">
        <v>435</v>
      </c>
      <c r="E19" s="943" t="s">
        <v>436</v>
      </c>
      <c r="F19" s="918">
        <f>SUM(H19:S19)</f>
        <v>76560</v>
      </c>
      <c r="G19" s="166" t="s">
        <v>52</v>
      </c>
      <c r="H19" s="166"/>
      <c r="I19" s="166">
        <f t="shared" ref="I19:S19" si="7">VLOOKUP($A19&amp;$B19&amp;I$10,Base,8,FALSE)</f>
        <v>0</v>
      </c>
      <c r="J19" s="166">
        <f t="shared" si="7"/>
        <v>0</v>
      </c>
      <c r="K19" s="166">
        <f t="shared" si="7"/>
        <v>19139.39</v>
      </c>
      <c r="L19" s="166">
        <f t="shared" si="7"/>
        <v>6379.8</v>
      </c>
      <c r="M19" s="166">
        <f t="shared" si="7"/>
        <v>6379.8</v>
      </c>
      <c r="N19" s="166">
        <f t="shared" si="7"/>
        <v>6379.8</v>
      </c>
      <c r="O19" s="166">
        <f t="shared" si="7"/>
        <v>6379.8</v>
      </c>
      <c r="P19" s="166">
        <f t="shared" si="7"/>
        <v>6379.8</v>
      </c>
      <c r="Q19" s="166">
        <f t="shared" si="7"/>
        <v>6381.61</v>
      </c>
      <c r="R19" s="166">
        <f t="shared" si="7"/>
        <v>6380</v>
      </c>
      <c r="S19" s="166">
        <f t="shared" si="7"/>
        <v>12760</v>
      </c>
      <c r="T19" s="67">
        <f ca="1">SUM($H19:(OFFSET($H19,0,AVANCE060826!$T$2)))</f>
        <v>57420.000000000007</v>
      </c>
      <c r="U19" s="903" t="s">
        <v>425</v>
      </c>
    </row>
    <row r="20" spans="1:21" ht="43.5" customHeight="1" x14ac:dyDescent="0.25">
      <c r="A20" s="311">
        <v>200201</v>
      </c>
      <c r="B20" s="159">
        <v>120201</v>
      </c>
      <c r="C20" s="268"/>
      <c r="D20" s="873"/>
      <c r="E20" s="943"/>
      <c r="F20" s="918"/>
      <c r="G20" s="166" t="s">
        <v>53</v>
      </c>
      <c r="H20" s="166"/>
      <c r="I20" s="166">
        <f t="shared" ref="I20:S20" si="8">VLOOKUP($A20&amp;$B20&amp;I$10,Base,9,FALSE)</f>
        <v>0</v>
      </c>
      <c r="J20" s="166">
        <f t="shared" si="8"/>
        <v>0</v>
      </c>
      <c r="K20" s="166">
        <f t="shared" si="8"/>
        <v>19139.39</v>
      </c>
      <c r="L20" s="166">
        <f t="shared" si="8"/>
        <v>6379.8</v>
      </c>
      <c r="M20" s="166">
        <f t="shared" si="8"/>
        <v>6379.8</v>
      </c>
      <c r="N20" s="166">
        <f t="shared" si="8"/>
        <v>6379.8</v>
      </c>
      <c r="O20" s="166">
        <f t="shared" si="8"/>
        <v>6379.8</v>
      </c>
      <c r="P20" s="166">
        <f t="shared" si="8"/>
        <v>6379.8</v>
      </c>
      <c r="Q20" s="166">
        <f t="shared" si="8"/>
        <v>0</v>
      </c>
      <c r="R20" s="166">
        <f t="shared" si="8"/>
        <v>0</v>
      </c>
      <c r="S20" s="166">
        <f t="shared" si="8"/>
        <v>0</v>
      </c>
      <c r="T20" s="67">
        <f t="shared" si="2"/>
        <v>51038.390000000007</v>
      </c>
      <c r="U20" s="903"/>
    </row>
    <row r="21" spans="1:21" ht="43.5" customHeight="1" x14ac:dyDescent="0.25">
      <c r="A21" s="311">
        <v>320200</v>
      </c>
      <c r="B21" s="159">
        <v>126303</v>
      </c>
      <c r="C21" s="344" t="s">
        <v>437</v>
      </c>
      <c r="D21" s="873" t="s">
        <v>438</v>
      </c>
      <c r="E21" s="943" t="s">
        <v>439</v>
      </c>
      <c r="F21" s="918">
        <f>SUM(H21:S21)</f>
        <v>321552</v>
      </c>
      <c r="G21" s="166" t="s">
        <v>52</v>
      </c>
      <c r="H21" s="166"/>
      <c r="I21" s="166">
        <f t="shared" ref="I21:S21" si="9">VLOOKUP($A21&amp;$B21&amp;I$10,Base,8,FALSE)</f>
        <v>0</v>
      </c>
      <c r="J21" s="166">
        <f t="shared" si="9"/>
        <v>0</v>
      </c>
      <c r="K21" s="166">
        <f t="shared" si="9"/>
        <v>80388</v>
      </c>
      <c r="L21" s="166">
        <f t="shared" si="9"/>
        <v>26796</v>
      </c>
      <c r="M21" s="166">
        <f t="shared" si="9"/>
        <v>26796</v>
      </c>
      <c r="N21" s="166">
        <f t="shared" si="9"/>
        <v>26796</v>
      </c>
      <c r="O21" s="166">
        <f t="shared" si="9"/>
        <v>26796</v>
      </c>
      <c r="P21" s="166">
        <f t="shared" si="9"/>
        <v>26796</v>
      </c>
      <c r="Q21" s="166">
        <f t="shared" si="9"/>
        <v>26796</v>
      </c>
      <c r="R21" s="166">
        <f t="shared" si="9"/>
        <v>26796</v>
      </c>
      <c r="S21" s="166">
        <f t="shared" si="9"/>
        <v>53592</v>
      </c>
      <c r="T21" s="67">
        <f ca="1">SUM($H21:(OFFSET($H21,0,AVANCE060826!$T$2)))</f>
        <v>241164</v>
      </c>
      <c r="U21" s="876" t="s">
        <v>440</v>
      </c>
    </row>
    <row r="22" spans="1:21" ht="43.5" customHeight="1" x14ac:dyDescent="0.25">
      <c r="A22" s="311">
        <v>320200</v>
      </c>
      <c r="B22" s="159">
        <v>126303</v>
      </c>
      <c r="C22" s="344"/>
      <c r="D22" s="873"/>
      <c r="E22" s="943"/>
      <c r="F22" s="918"/>
      <c r="G22" s="166" t="s">
        <v>53</v>
      </c>
      <c r="H22" s="166"/>
      <c r="I22" s="166">
        <f t="shared" ref="I22:S22" si="10">VLOOKUP($A22&amp;$B22&amp;I$10,Base,9,FALSE)</f>
        <v>0</v>
      </c>
      <c r="J22" s="166">
        <f t="shared" si="10"/>
        <v>0</v>
      </c>
      <c r="K22" s="166">
        <f t="shared" si="10"/>
        <v>80388</v>
      </c>
      <c r="L22" s="166">
        <f t="shared" si="10"/>
        <v>26796</v>
      </c>
      <c r="M22" s="166">
        <f t="shared" si="10"/>
        <v>26796</v>
      </c>
      <c r="N22" s="166">
        <f t="shared" si="10"/>
        <v>26796</v>
      </c>
      <c r="O22" s="166">
        <f t="shared" si="10"/>
        <v>26796</v>
      </c>
      <c r="P22" s="166">
        <f t="shared" si="10"/>
        <v>26796</v>
      </c>
      <c r="Q22" s="166">
        <f t="shared" si="10"/>
        <v>0</v>
      </c>
      <c r="R22" s="166">
        <f t="shared" si="10"/>
        <v>0</v>
      </c>
      <c r="S22" s="166">
        <f t="shared" si="10"/>
        <v>0</v>
      </c>
      <c r="T22" s="67">
        <f t="shared" si="2"/>
        <v>214368</v>
      </c>
      <c r="U22" s="876"/>
    </row>
    <row r="23" spans="1:21" ht="55.5" hidden="1" customHeight="1" x14ac:dyDescent="0.25">
      <c r="A23" s="311">
        <v>310203</v>
      </c>
      <c r="B23" s="313">
        <v>125305</v>
      </c>
      <c r="C23" s="268" t="s">
        <v>437</v>
      </c>
      <c r="D23" s="873" t="s">
        <v>441</v>
      </c>
      <c r="E23" s="943" t="s">
        <v>442</v>
      </c>
      <c r="F23" s="918"/>
      <c r="G23" s="166" t="s">
        <v>52</v>
      </c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67">
        <f t="shared" si="2"/>
        <v>0</v>
      </c>
      <c r="U23" s="903" t="s">
        <v>425</v>
      </c>
    </row>
    <row r="24" spans="1:21" ht="34.5" hidden="1" customHeight="1" x14ac:dyDescent="0.25">
      <c r="A24" s="311">
        <v>310203</v>
      </c>
      <c r="B24" s="313">
        <v>125305</v>
      </c>
      <c r="C24" s="348"/>
      <c r="D24" s="873"/>
      <c r="E24" s="943"/>
      <c r="F24" s="918"/>
      <c r="G24" s="166" t="s">
        <v>53</v>
      </c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67">
        <f t="shared" si="2"/>
        <v>0</v>
      </c>
      <c r="U24" s="903"/>
    </row>
    <row r="25" spans="1:21" x14ac:dyDescent="0.25">
      <c r="A25" s="4">
        <v>6</v>
      </c>
      <c r="B25" s="4"/>
      <c r="C25" s="24">
        <f>COUNT(#REF!)</f>
        <v>0</v>
      </c>
      <c r="D25" s="7"/>
      <c r="E25" s="6"/>
      <c r="F25" s="176">
        <f>SUM(F13:F24)</f>
        <v>611115.84</v>
      </c>
      <c r="G25" s="166" t="s">
        <v>52</v>
      </c>
      <c r="H25" s="176">
        <f t="shared" ref="H25:T26" si="11">+H23+H21+H19+H17+H15+H13</f>
        <v>0</v>
      </c>
      <c r="I25" s="176">
        <f t="shared" si="11"/>
        <v>0</v>
      </c>
      <c r="J25" s="176">
        <f t="shared" si="11"/>
        <v>0</v>
      </c>
      <c r="K25" s="176">
        <f t="shared" si="11"/>
        <v>99527.39</v>
      </c>
      <c r="L25" s="176">
        <f t="shared" si="11"/>
        <v>47934.490000000005</v>
      </c>
      <c r="M25" s="176">
        <f t="shared" si="11"/>
        <v>89417.600000000006</v>
      </c>
      <c r="N25" s="176">
        <f t="shared" ref="N25:S26" si="12">+N23+N21+N19+N17+N15+N13</f>
        <v>45126.130000000005</v>
      </c>
      <c r="O25" s="176">
        <f t="shared" si="12"/>
        <v>57076.380000000005</v>
      </c>
      <c r="P25" s="176">
        <f t="shared" si="12"/>
        <v>68325.320000000007</v>
      </c>
      <c r="Q25" s="176">
        <f t="shared" si="12"/>
        <v>50929.570000000007</v>
      </c>
      <c r="R25" s="176">
        <f t="shared" si="12"/>
        <v>50926.32</v>
      </c>
      <c r="S25" s="176">
        <f t="shared" si="12"/>
        <v>101852.64</v>
      </c>
      <c r="T25" s="176">
        <f t="shared" ca="1" si="11"/>
        <v>458336.88</v>
      </c>
      <c r="U25" s="5"/>
    </row>
    <row r="26" spans="1:21" ht="31.5" customHeight="1" x14ac:dyDescent="0.25">
      <c r="F26" s="3"/>
      <c r="G26" s="166" t="s">
        <v>53</v>
      </c>
      <c r="H26" s="176">
        <f t="shared" si="11"/>
        <v>0</v>
      </c>
      <c r="I26" s="176">
        <f t="shared" si="11"/>
        <v>0</v>
      </c>
      <c r="J26" s="176">
        <f t="shared" si="11"/>
        <v>0</v>
      </c>
      <c r="K26" s="176">
        <f t="shared" si="11"/>
        <v>99527.39</v>
      </c>
      <c r="L26" s="176">
        <f t="shared" si="11"/>
        <v>47934.490000000005</v>
      </c>
      <c r="M26" s="176">
        <f t="shared" si="11"/>
        <v>89417.600000000006</v>
      </c>
      <c r="N26" s="176">
        <f t="shared" si="12"/>
        <v>45126.130000000005</v>
      </c>
      <c r="O26" s="176">
        <f t="shared" si="12"/>
        <v>57076.380000000005</v>
      </c>
      <c r="P26" s="176">
        <f t="shared" si="12"/>
        <v>68325.320000000007</v>
      </c>
      <c r="Q26" s="176">
        <f t="shared" si="12"/>
        <v>0</v>
      </c>
      <c r="R26" s="176">
        <f t="shared" si="12"/>
        <v>0</v>
      </c>
      <c r="S26" s="176">
        <f t="shared" si="12"/>
        <v>0</v>
      </c>
      <c r="T26" s="176">
        <f t="shared" si="11"/>
        <v>407407.31</v>
      </c>
      <c r="U26" s="857"/>
    </row>
    <row r="27" spans="1:21" ht="31.5" customHeight="1" x14ac:dyDescent="0.25">
      <c r="T27" s="2"/>
      <c r="U27" s="857"/>
    </row>
    <row r="28" spans="1:21" ht="31.5" customHeight="1" x14ac:dyDescent="0.25"/>
  </sheetData>
  <autoFilter ref="B12:B26"/>
  <mergeCells count="45">
    <mergeCell ref="D23:D24"/>
    <mergeCell ref="E23:E24"/>
    <mergeCell ref="F23:F24"/>
    <mergeCell ref="U23:U24"/>
    <mergeCell ref="U26:U27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9" fitToHeight="21" orientation="landscape" r:id="rId1"/>
  <ignoredErrors>
    <ignoredError sqref="T14:T21 I19:S20" formula="1"/>
    <ignoredError sqref="I14:S18" formula="1" unlockedFormula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showGridLines="0" topLeftCell="A9" zoomScaleNormal="100" zoomScaleSheetLayoutView="85" zoomScalePageLayoutView="80" workbookViewId="0">
      <pane xSplit="1" topLeftCell="F1" activePane="topRight" state="frozen"/>
      <selection pane="topRight" activeCell="N12" sqref="N12:N15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8" customWidth="1"/>
    <col min="7" max="7" width="15" customWidth="1"/>
    <col min="8" max="8" width="19.140625" customWidth="1"/>
    <col min="9" max="9" width="16.7109375" customWidth="1"/>
    <col min="10" max="10" width="15.7109375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132</v>
      </c>
      <c r="G8" s="9"/>
      <c r="H8" s="9"/>
      <c r="I8" s="9"/>
      <c r="J8" s="9"/>
    </row>
    <row r="9" spans="1:13" ht="15.75" thickBot="1" x14ac:dyDescent="0.3">
      <c r="L9" s="9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89</v>
      </c>
      <c r="H10" s="881" t="s">
        <v>90</v>
      </c>
      <c r="I10" s="881"/>
      <c r="J10" s="881" t="s">
        <v>27</v>
      </c>
      <c r="K10" s="881"/>
      <c r="L10" s="836" t="s">
        <v>28</v>
      </c>
      <c r="M10" s="839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945"/>
      <c r="M11" s="841"/>
    </row>
    <row r="12" spans="1:13" ht="80.25" customHeight="1" thickTop="1" x14ac:dyDescent="0.25">
      <c r="A12" s="373" t="s">
        <v>447</v>
      </c>
      <c r="B12" s="373" t="s">
        <v>37</v>
      </c>
      <c r="C12" s="347" t="s">
        <v>448</v>
      </c>
      <c r="D12" s="240" t="s">
        <v>449</v>
      </c>
      <c r="E12" s="243" t="s">
        <v>450</v>
      </c>
      <c r="F12" s="166">
        <f>HGO_Calendario!F13</f>
        <v>9230694.2463999987</v>
      </c>
      <c r="G12" s="166">
        <f>+F12/12</f>
        <v>769224.52053333318</v>
      </c>
      <c r="H12" s="67">
        <f ca="1">HGO_Calendario!T13</f>
        <v>7499939.0751999989</v>
      </c>
      <c r="I12" s="67">
        <f>HGO_Calendario!T14</f>
        <v>5769183.2000000002</v>
      </c>
      <c r="J12" s="67">
        <f ca="1">H12-I12</f>
        <v>1730755.8751999987</v>
      </c>
      <c r="K12" s="67">
        <f ca="1">+J12/H12*100</f>
        <v>23.07693246366598</v>
      </c>
      <c r="L12" s="74">
        <f ca="1">100-K12</f>
        <v>76.923067536334017</v>
      </c>
      <c r="M12" s="352" t="s">
        <v>457</v>
      </c>
    </row>
    <row r="13" spans="1:13" ht="80.25" customHeight="1" x14ac:dyDescent="0.25">
      <c r="A13" s="373" t="s">
        <v>447</v>
      </c>
      <c r="B13" s="373" t="s">
        <v>37</v>
      </c>
      <c r="C13" s="347"/>
      <c r="D13" s="240" t="s">
        <v>452</v>
      </c>
      <c r="E13" s="243" t="s">
        <v>458</v>
      </c>
      <c r="F13" s="166">
        <f>HGO_Calendario!F15</f>
        <v>8056896</v>
      </c>
      <c r="G13" s="166">
        <f>+F13/12</f>
        <v>671408</v>
      </c>
      <c r="H13" s="67">
        <f ca="1">HGO_Calendario!T15</f>
        <v>6714080</v>
      </c>
      <c r="I13" s="67">
        <f>HGO_Calendario!T16</f>
        <v>5371261.1200000001</v>
      </c>
      <c r="J13" s="67">
        <f ca="1">H13-I13</f>
        <v>1342818.88</v>
      </c>
      <c r="K13" s="67">
        <f ca="1">+J13/H13*100</f>
        <v>20.000042894931248</v>
      </c>
      <c r="L13" s="74">
        <f ca="1">100-K13</f>
        <v>79.999957105068745</v>
      </c>
      <c r="M13" s="352" t="s">
        <v>989</v>
      </c>
    </row>
    <row r="14" spans="1:13" ht="93.75" customHeight="1" x14ac:dyDescent="0.25">
      <c r="A14" s="373">
        <v>139302</v>
      </c>
      <c r="B14" s="373">
        <v>73110</v>
      </c>
      <c r="C14" s="347" t="s">
        <v>448</v>
      </c>
      <c r="D14" s="240" t="s">
        <v>454</v>
      </c>
      <c r="E14" s="243" t="s">
        <v>255</v>
      </c>
      <c r="F14" s="166">
        <f>HGO_Calendario!F17</f>
        <v>223416</v>
      </c>
      <c r="G14" s="166">
        <f>29160</f>
        <v>29160</v>
      </c>
      <c r="H14" s="67">
        <f ca="1">HGO_Calendario!T17</f>
        <v>167562</v>
      </c>
      <c r="I14" s="67">
        <f>HGO_Calendario!T18</f>
        <v>111707.51000000001</v>
      </c>
      <c r="J14" s="67">
        <f ca="1">H14-I14</f>
        <v>55854.489999999991</v>
      </c>
      <c r="K14" s="67">
        <f ca="1">+J14/H14*100</f>
        <v>33.33362576240436</v>
      </c>
      <c r="L14" s="74">
        <f ca="1">100-K14</f>
        <v>66.666374237595647</v>
      </c>
      <c r="M14" s="352" t="s">
        <v>459</v>
      </c>
    </row>
    <row r="15" spans="1:13" ht="80.25" customHeight="1" thickBot="1" x14ac:dyDescent="0.3">
      <c r="A15" s="371" t="s">
        <v>81</v>
      </c>
      <c r="B15" s="372">
        <v>73100</v>
      </c>
      <c r="C15" s="184"/>
      <c r="D15" s="240" t="s">
        <v>449</v>
      </c>
      <c r="E15" s="374" t="s">
        <v>456</v>
      </c>
      <c r="F15" s="375">
        <f>HGO_Calendario!F19</f>
        <v>100856</v>
      </c>
      <c r="G15" s="303">
        <v>68765</v>
      </c>
      <c r="H15" s="67">
        <f ca="1">HGO_Calendario!T19</f>
        <v>100856</v>
      </c>
      <c r="I15" s="67">
        <f>HGO_Calendario!T20</f>
        <v>100855.03999999999</v>
      </c>
      <c r="J15" s="67">
        <f ca="1">H15-I15</f>
        <v>0.96000000000640284</v>
      </c>
      <c r="K15" s="67">
        <f ca="1">+J15/H15*100</f>
        <v>9.5185214563972673E-4</v>
      </c>
      <c r="L15" s="74">
        <f ca="1">100-K15</f>
        <v>99.999048147854367</v>
      </c>
      <c r="M15" s="352" t="s">
        <v>460</v>
      </c>
    </row>
    <row r="16" spans="1:13" ht="15.75" thickBot="1" x14ac:dyDescent="0.3">
      <c r="A16" s="4"/>
      <c r="B16" s="4">
        <v>3</v>
      </c>
      <c r="C16" s="24">
        <f>COUNT(#REF!)</f>
        <v>0</v>
      </c>
      <c r="D16" s="376"/>
      <c r="E16" s="376"/>
      <c r="F16" s="32">
        <f>SUM(F12:F15)</f>
        <v>17611862.246399999</v>
      </c>
      <c r="G16" s="32">
        <f>SUM(G12:G15)</f>
        <v>1538557.5205333331</v>
      </c>
      <c r="H16" s="32">
        <f ca="1">SUM(H12:H15)</f>
        <v>14482437.075199999</v>
      </c>
      <c r="I16" s="32">
        <f>SUM(I12:I15)</f>
        <v>11353006.869999999</v>
      </c>
      <c r="J16" s="32">
        <f ca="1">H16-I16</f>
        <v>3129430.2051999997</v>
      </c>
      <c r="K16" s="150">
        <f ca="1">+K12</f>
        <v>23.07693246366598</v>
      </c>
      <c r="L16" s="151">
        <f ca="1">+L12</f>
        <v>76.923067536334017</v>
      </c>
      <c r="M16" s="5"/>
    </row>
    <row r="17" spans="6:13" ht="31.5" customHeight="1" x14ac:dyDescent="0.25">
      <c r="F17" s="3"/>
      <c r="G17" s="3"/>
      <c r="H17" s="2"/>
      <c r="I17" s="2"/>
      <c r="J17" s="2"/>
      <c r="K17" s="2"/>
      <c r="L17" s="2"/>
      <c r="M17" s="857"/>
    </row>
    <row r="18" spans="6:13" ht="31.5" customHeight="1" x14ac:dyDescent="0.25">
      <c r="H18" s="2"/>
      <c r="I18" s="2"/>
      <c r="J18" s="2"/>
      <c r="K18" s="2"/>
      <c r="L18" s="2"/>
      <c r="M18" s="857"/>
    </row>
    <row r="19" spans="6:13" ht="31.5" customHeight="1" x14ac:dyDescent="0.25"/>
  </sheetData>
  <mergeCells count="12">
    <mergeCell ref="M10:M11"/>
    <mergeCell ref="M17:M18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2" fitToHeight="2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U26"/>
  <sheetViews>
    <sheetView view="pageBreakPreview" topLeftCell="A7" zoomScale="85" zoomScaleNormal="100" zoomScaleSheetLayoutView="85" zoomScalePageLayoutView="80" workbookViewId="0">
      <pane xSplit="2" topLeftCell="H1" activePane="topRight" state="frozen"/>
      <selection pane="topRight" activeCell="P16" sqref="P16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18" customWidth="1"/>
    <col min="7" max="19" width="15" customWidth="1"/>
    <col min="20" max="20" width="19.140625" customWidth="1"/>
    <col min="21" max="21" width="40.8554687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132</v>
      </c>
      <c r="N8" s="192"/>
      <c r="O8" s="192"/>
      <c r="P8" s="192"/>
      <c r="T8" s="9"/>
    </row>
    <row r="9" spans="1:21" ht="18.75" thickBot="1" x14ac:dyDescent="0.3">
      <c r="D9" s="39"/>
      <c r="E9" s="10"/>
      <c r="N9" s="192"/>
      <c r="O9" s="192"/>
      <c r="P9" s="192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46" t="s">
        <v>16</v>
      </c>
      <c r="E11" s="847" t="s">
        <v>15</v>
      </c>
      <c r="F11" s="836" t="s">
        <v>26</v>
      </c>
      <c r="G11" s="837" t="s">
        <v>89</v>
      </c>
      <c r="H11" s="837" t="s">
        <v>39</v>
      </c>
      <c r="I11" s="837" t="s">
        <v>40</v>
      </c>
      <c r="J11" s="837" t="s">
        <v>41</v>
      </c>
      <c r="K11" s="837" t="s">
        <v>42</v>
      </c>
      <c r="L11" s="837" t="s">
        <v>43</v>
      </c>
      <c r="M11" s="837" t="s">
        <v>44</v>
      </c>
      <c r="N11" s="837" t="s">
        <v>45</v>
      </c>
      <c r="O11" s="837" t="s">
        <v>46</v>
      </c>
      <c r="P11" s="837" t="s">
        <v>47</v>
      </c>
      <c r="Q11" s="837" t="s">
        <v>167</v>
      </c>
      <c r="R11" s="837" t="s">
        <v>49</v>
      </c>
      <c r="S11" s="837" t="s">
        <v>50</v>
      </c>
      <c r="T11" s="948" t="s">
        <v>51</v>
      </c>
      <c r="U11" s="834" t="s">
        <v>14</v>
      </c>
    </row>
    <row r="12" spans="1:21" ht="34.5" customHeight="1" x14ac:dyDescent="0.25">
      <c r="A12" s="366" t="s">
        <v>12</v>
      </c>
      <c r="B12" s="365" t="s">
        <v>13</v>
      </c>
      <c r="C12" s="883"/>
      <c r="D12" s="891"/>
      <c r="E12" s="892"/>
      <c r="F12" s="893"/>
      <c r="G12" s="946"/>
      <c r="H12" s="946"/>
      <c r="I12" s="946"/>
      <c r="J12" s="946"/>
      <c r="K12" s="946"/>
      <c r="L12" s="946"/>
      <c r="M12" s="946"/>
      <c r="N12" s="946"/>
      <c r="O12" s="946"/>
      <c r="P12" s="946"/>
      <c r="Q12" s="946"/>
      <c r="R12" s="946"/>
      <c r="S12" s="946"/>
      <c r="T12" s="949"/>
      <c r="U12" s="947"/>
    </row>
    <row r="13" spans="1:21" ht="35.25" customHeight="1" x14ac:dyDescent="0.25">
      <c r="A13" s="739">
        <v>50100</v>
      </c>
      <c r="B13" s="739">
        <v>139001</v>
      </c>
      <c r="C13" s="370" t="s">
        <v>448</v>
      </c>
      <c r="D13" s="873" t="s">
        <v>449</v>
      </c>
      <c r="E13" s="873" t="s">
        <v>450</v>
      </c>
      <c r="F13" s="918">
        <f>SUM(H13:S13)</f>
        <v>9230694.2463999987</v>
      </c>
      <c r="G13" s="166" t="s">
        <v>52</v>
      </c>
      <c r="H13" s="166">
        <f>497343.44*1.16</f>
        <v>576918.39039999992</v>
      </c>
      <c r="I13" s="166">
        <f>497343.44*1.16</f>
        <v>576918.39039999992</v>
      </c>
      <c r="J13" s="166">
        <f>497343.44*1.16</f>
        <v>576918.39039999992</v>
      </c>
      <c r="K13" s="166">
        <f>497343.44*1.16</f>
        <v>576918.39039999992</v>
      </c>
      <c r="L13" s="166">
        <f>746015.16*1.16</f>
        <v>865377.58559999999</v>
      </c>
      <c r="M13" s="166">
        <f t="shared" ref="M13:S13" si="0">746015.16*1.16</f>
        <v>865377.58559999999</v>
      </c>
      <c r="N13" s="166">
        <f t="shared" si="0"/>
        <v>865377.58559999999</v>
      </c>
      <c r="O13" s="166">
        <f t="shared" si="0"/>
        <v>865377.58559999999</v>
      </c>
      <c r="P13" s="166">
        <f t="shared" si="0"/>
        <v>865377.58559999999</v>
      </c>
      <c r="Q13" s="166">
        <f t="shared" si="0"/>
        <v>865377.58559999999</v>
      </c>
      <c r="R13" s="166">
        <f t="shared" si="0"/>
        <v>865377.58559999999</v>
      </c>
      <c r="S13" s="166">
        <f t="shared" si="0"/>
        <v>865377.58559999999</v>
      </c>
      <c r="T13" s="67">
        <f ca="1">SUM($H13:(OFFSET($H13,0,AVANCE060826!$T$2)))</f>
        <v>7499939.0751999989</v>
      </c>
      <c r="U13" s="903" t="s">
        <v>451</v>
      </c>
    </row>
    <row r="14" spans="1:21" ht="35.25" customHeight="1" x14ac:dyDescent="0.25">
      <c r="A14" s="739">
        <v>50100</v>
      </c>
      <c r="B14" s="739">
        <v>139001</v>
      </c>
      <c r="C14" s="370"/>
      <c r="D14" s="873"/>
      <c r="E14" s="873"/>
      <c r="F14" s="918"/>
      <c r="G14" s="166" t="s">
        <v>53</v>
      </c>
      <c r="H14" s="769"/>
      <c r="I14" s="769">
        <f>VLOOKUP($A14&amp;$B14&amp;I$10,Base,9,FALSE)</f>
        <v>0</v>
      </c>
      <c r="J14" s="769"/>
      <c r="K14" s="769"/>
      <c r="L14" s="769"/>
      <c r="M14" s="769">
        <v>2307673.56</v>
      </c>
      <c r="N14" s="769">
        <v>1730754.46</v>
      </c>
      <c r="O14" s="769">
        <v>865377.59</v>
      </c>
      <c r="P14" s="769">
        <v>865377.59</v>
      </c>
      <c r="Q14" s="769"/>
      <c r="R14" s="769"/>
      <c r="S14" s="769"/>
      <c r="T14" s="67">
        <f t="shared" ref="T14:T20" si="1">SUM(H14:S14)</f>
        <v>5769183.2000000002</v>
      </c>
      <c r="U14" s="903"/>
    </row>
    <row r="15" spans="1:21" ht="35.25" customHeight="1" x14ac:dyDescent="0.25">
      <c r="A15" s="739">
        <v>50100</v>
      </c>
      <c r="B15" s="739">
        <v>139001</v>
      </c>
      <c r="C15" s="370"/>
      <c r="D15" s="873" t="s">
        <v>452</v>
      </c>
      <c r="E15" s="873" t="s">
        <v>453</v>
      </c>
      <c r="F15" s="918">
        <f>SUM(H15:S15)</f>
        <v>8056896</v>
      </c>
      <c r="G15" s="166" t="s">
        <v>52</v>
      </c>
      <c r="H15" s="166">
        <v>671408</v>
      </c>
      <c r="I15" s="166">
        <v>671408</v>
      </c>
      <c r="J15" s="166">
        <v>671408</v>
      </c>
      <c r="K15" s="166">
        <v>671408</v>
      </c>
      <c r="L15" s="166">
        <v>671408</v>
      </c>
      <c r="M15" s="166">
        <v>671408</v>
      </c>
      <c r="N15" s="166">
        <v>671408</v>
      </c>
      <c r="O15" s="166">
        <v>671408</v>
      </c>
      <c r="P15" s="166">
        <v>671408</v>
      </c>
      <c r="Q15" s="166">
        <v>671408</v>
      </c>
      <c r="R15" s="166">
        <v>671408</v>
      </c>
      <c r="S15" s="166">
        <v>671408</v>
      </c>
      <c r="T15" s="67">
        <f ca="1">SUM($H15:(OFFSET($H15,0,AVANCE060826!$T$2)))</f>
        <v>6714080</v>
      </c>
      <c r="U15" s="235"/>
    </row>
    <row r="16" spans="1:21" ht="35.25" customHeight="1" x14ac:dyDescent="0.25">
      <c r="A16" s="739">
        <v>50100</v>
      </c>
      <c r="B16" s="739">
        <v>139001</v>
      </c>
      <c r="C16" s="370"/>
      <c r="D16" s="873"/>
      <c r="E16" s="873"/>
      <c r="F16" s="918"/>
      <c r="G16" s="166" t="s">
        <v>53</v>
      </c>
      <c r="H16" s="769"/>
      <c r="I16" s="769">
        <f>VLOOKUP($A16&amp;$B16&amp;I$10,Base,9,FALSE)</f>
        <v>0</v>
      </c>
      <c r="J16" s="769">
        <v>1342815.28</v>
      </c>
      <c r="K16" s="769">
        <v>671407.64</v>
      </c>
      <c r="L16" s="769">
        <v>671407.64</v>
      </c>
      <c r="M16" s="769">
        <v>671407.64</v>
      </c>
      <c r="N16" s="769">
        <v>671407.64</v>
      </c>
      <c r="O16" s="769">
        <v>671407.64</v>
      </c>
      <c r="P16" s="769">
        <v>671407.64</v>
      </c>
      <c r="Q16" s="769"/>
      <c r="R16" s="769"/>
      <c r="S16" s="769"/>
      <c r="T16" s="67">
        <f t="shared" si="1"/>
        <v>5371261.1200000001</v>
      </c>
      <c r="U16" s="235"/>
    </row>
    <row r="17" spans="1:21" ht="35.25" customHeight="1" x14ac:dyDescent="0.25">
      <c r="A17" s="369">
        <v>73110</v>
      </c>
      <c r="B17" s="369">
        <v>139302</v>
      </c>
      <c r="C17" s="370"/>
      <c r="D17" s="873" t="s">
        <v>454</v>
      </c>
      <c r="E17" s="873" t="s">
        <v>255</v>
      </c>
      <c r="F17" s="918">
        <f>SUM(H17:S17)</f>
        <v>223416</v>
      </c>
      <c r="G17" s="166" t="s">
        <v>52</v>
      </c>
      <c r="H17" s="166"/>
      <c r="I17" s="166">
        <f t="shared" ref="I17:S17" si="2">VLOOKUP($A17&amp;$B17&amp;I$10,Base,8,FALSE)</f>
        <v>0</v>
      </c>
      <c r="J17" s="166">
        <f t="shared" si="2"/>
        <v>37234.68</v>
      </c>
      <c r="K17" s="166">
        <f t="shared" si="2"/>
        <v>18617.34</v>
      </c>
      <c r="L17" s="166">
        <f t="shared" si="2"/>
        <v>20326.150000000001</v>
      </c>
      <c r="M17" s="166">
        <f t="shared" si="2"/>
        <v>20326.150000000001</v>
      </c>
      <c r="N17" s="166">
        <f t="shared" si="2"/>
        <v>15203.19</v>
      </c>
      <c r="O17" s="166">
        <f t="shared" si="2"/>
        <v>0</v>
      </c>
      <c r="P17" s="166">
        <f t="shared" si="2"/>
        <v>0</v>
      </c>
      <c r="Q17" s="166">
        <f t="shared" si="2"/>
        <v>55854.49</v>
      </c>
      <c r="R17" s="166">
        <f t="shared" si="2"/>
        <v>18618</v>
      </c>
      <c r="S17" s="166">
        <f t="shared" si="2"/>
        <v>37236</v>
      </c>
      <c r="T17" s="67">
        <f ca="1">SUM($H17:(OFFSET($H17,0,AVANCE060826!$T$2)))</f>
        <v>167562</v>
      </c>
      <c r="U17" s="235"/>
    </row>
    <row r="18" spans="1:21" ht="35.25" customHeight="1" x14ac:dyDescent="0.25">
      <c r="A18" s="369">
        <v>73110</v>
      </c>
      <c r="B18" s="369">
        <v>139302</v>
      </c>
      <c r="C18" s="370"/>
      <c r="D18" s="873"/>
      <c r="E18" s="873"/>
      <c r="F18" s="918"/>
      <c r="G18" s="166" t="s">
        <v>53</v>
      </c>
      <c r="H18" s="166"/>
      <c r="I18" s="166">
        <f t="shared" ref="I18:S18" si="3">VLOOKUP($A18&amp;$B18&amp;I$10,Base,9,FALSE)</f>
        <v>0</v>
      </c>
      <c r="J18" s="166">
        <f t="shared" si="3"/>
        <v>37234.68</v>
      </c>
      <c r="K18" s="166">
        <f t="shared" si="3"/>
        <v>18617.34</v>
      </c>
      <c r="L18" s="166">
        <f t="shared" si="3"/>
        <v>20326.150000000001</v>
      </c>
      <c r="M18" s="166">
        <f t="shared" si="3"/>
        <v>20326.150000000001</v>
      </c>
      <c r="N18" s="166">
        <f t="shared" si="3"/>
        <v>15203.19</v>
      </c>
      <c r="O18" s="166">
        <f t="shared" si="3"/>
        <v>0</v>
      </c>
      <c r="P18" s="166">
        <f t="shared" si="3"/>
        <v>0</v>
      </c>
      <c r="Q18" s="166">
        <f t="shared" si="3"/>
        <v>0</v>
      </c>
      <c r="R18" s="166">
        <f t="shared" si="3"/>
        <v>0</v>
      </c>
      <c r="S18" s="166">
        <f t="shared" si="3"/>
        <v>0</v>
      </c>
      <c r="T18" s="67">
        <f>SUM(H18:S18)</f>
        <v>111707.51000000001</v>
      </c>
      <c r="U18" s="235"/>
    </row>
    <row r="19" spans="1:21" ht="35.25" customHeight="1" x14ac:dyDescent="0.25">
      <c r="A19" s="372">
        <v>73100</v>
      </c>
      <c r="B19" s="371" t="s">
        <v>81</v>
      </c>
      <c r="C19" s="165"/>
      <c r="D19" s="873" t="s">
        <v>455</v>
      </c>
      <c r="E19" s="873" t="s">
        <v>456</v>
      </c>
      <c r="F19" s="918">
        <f>SUM(H19:S19)</f>
        <v>100856</v>
      </c>
      <c r="G19" s="166" t="s">
        <v>52</v>
      </c>
      <c r="H19" s="166"/>
      <c r="I19" s="166">
        <f t="shared" ref="I19:S19" si="4">VLOOKUP($A19&amp;$B19&amp;I$10,Base,8,FALSE)</f>
        <v>0</v>
      </c>
      <c r="J19" s="166">
        <f t="shared" si="4"/>
        <v>0</v>
      </c>
      <c r="K19" s="166">
        <f t="shared" si="4"/>
        <v>0</v>
      </c>
      <c r="L19" s="166">
        <f t="shared" si="4"/>
        <v>0</v>
      </c>
      <c r="M19" s="166">
        <f t="shared" si="4"/>
        <v>0</v>
      </c>
      <c r="N19" s="166">
        <f t="shared" si="4"/>
        <v>100855.03999999999</v>
      </c>
      <c r="O19" s="166">
        <f t="shared" si="4"/>
        <v>0</v>
      </c>
      <c r="P19" s="166">
        <f t="shared" si="4"/>
        <v>0</v>
      </c>
      <c r="Q19" s="166">
        <f t="shared" si="4"/>
        <v>0.96</v>
      </c>
      <c r="R19" s="166">
        <f t="shared" si="4"/>
        <v>0</v>
      </c>
      <c r="S19" s="166">
        <f t="shared" si="4"/>
        <v>0</v>
      </c>
      <c r="T19" s="67">
        <f ca="1">SUM($H19:(OFFSET($H19,0,AVANCE060826!$T$2)))</f>
        <v>100856</v>
      </c>
      <c r="U19" s="903"/>
    </row>
    <row r="20" spans="1:21" ht="44.25" customHeight="1" x14ac:dyDescent="0.25">
      <c r="A20" s="372">
        <v>73100</v>
      </c>
      <c r="B20" s="371" t="s">
        <v>81</v>
      </c>
      <c r="C20" s="165"/>
      <c r="D20" s="873"/>
      <c r="E20" s="873"/>
      <c r="F20" s="918"/>
      <c r="G20" s="166" t="s">
        <v>53</v>
      </c>
      <c r="H20" s="166"/>
      <c r="I20" s="166">
        <f t="shared" ref="I20:S20" si="5">VLOOKUP($A20&amp;$B20&amp;I$10,Base,9,FALSE)</f>
        <v>0</v>
      </c>
      <c r="J20" s="166">
        <f t="shared" si="5"/>
        <v>0</v>
      </c>
      <c r="K20" s="166">
        <f t="shared" si="5"/>
        <v>0</v>
      </c>
      <c r="L20" s="166">
        <f t="shared" si="5"/>
        <v>0</v>
      </c>
      <c r="M20" s="166">
        <f t="shared" si="5"/>
        <v>0</v>
      </c>
      <c r="N20" s="166">
        <f t="shared" si="5"/>
        <v>100855.03999999999</v>
      </c>
      <c r="O20" s="166">
        <f t="shared" si="5"/>
        <v>0</v>
      </c>
      <c r="P20" s="166">
        <f t="shared" si="5"/>
        <v>0</v>
      </c>
      <c r="Q20" s="166">
        <f t="shared" si="5"/>
        <v>0</v>
      </c>
      <c r="R20" s="166">
        <f t="shared" si="5"/>
        <v>0</v>
      </c>
      <c r="S20" s="166">
        <f t="shared" si="5"/>
        <v>0</v>
      </c>
      <c r="T20" s="67">
        <f t="shared" si="1"/>
        <v>100855.03999999999</v>
      </c>
      <c r="U20" s="903"/>
    </row>
    <row r="21" spans="1:21" x14ac:dyDescent="0.25">
      <c r="A21" s="4">
        <v>3</v>
      </c>
      <c r="B21" s="4"/>
      <c r="C21" s="24">
        <f>COUNT(#REF!)</f>
        <v>0</v>
      </c>
      <c r="D21" s="7"/>
      <c r="E21" s="6"/>
      <c r="F21" s="197">
        <f>SUM(F13:F19)</f>
        <v>17611862.246399999</v>
      </c>
      <c r="G21" s="166" t="s">
        <v>52</v>
      </c>
      <c r="H21" s="176">
        <f t="shared" ref="H21:M22" si="6">+H19+H13+H15</f>
        <v>1248326.3903999999</v>
      </c>
      <c r="I21" s="176">
        <f t="shared" si="6"/>
        <v>1248326.3903999999</v>
      </c>
      <c r="J21" s="176">
        <f t="shared" si="6"/>
        <v>1248326.3903999999</v>
      </c>
      <c r="K21" s="176">
        <f t="shared" si="6"/>
        <v>1248326.3903999999</v>
      </c>
      <c r="L21" s="176">
        <f t="shared" si="6"/>
        <v>1536785.5855999999</v>
      </c>
      <c r="M21" s="176">
        <f t="shared" si="6"/>
        <v>1536785.5855999999</v>
      </c>
      <c r="N21" s="176">
        <f>+N19+N13+N15</f>
        <v>1637640.6255999999</v>
      </c>
      <c r="O21" s="176">
        <f>+O19+O13+O15</f>
        <v>1536785.5855999999</v>
      </c>
      <c r="P21" s="176"/>
      <c r="Q21" s="176"/>
      <c r="R21" s="176"/>
      <c r="S21" s="176"/>
      <c r="T21" s="176">
        <f ca="1">+T13+T15+T17+T19</f>
        <v>14482437.075199999</v>
      </c>
      <c r="U21" s="5"/>
    </row>
    <row r="22" spans="1:21" ht="31.5" customHeight="1" x14ac:dyDescent="0.25">
      <c r="F22" s="3"/>
      <c r="G22" s="166" t="s">
        <v>53</v>
      </c>
      <c r="H22" s="176">
        <f t="shared" si="6"/>
        <v>0</v>
      </c>
      <c r="I22" s="176">
        <f t="shared" si="6"/>
        <v>0</v>
      </c>
      <c r="J22" s="176">
        <f t="shared" si="6"/>
        <v>1342815.28</v>
      </c>
      <c r="K22" s="176">
        <f t="shared" si="6"/>
        <v>671407.64</v>
      </c>
      <c r="L22" s="176">
        <f t="shared" si="6"/>
        <v>671407.64</v>
      </c>
      <c r="M22" s="176">
        <f t="shared" si="6"/>
        <v>2979081.2</v>
      </c>
      <c r="N22" s="176">
        <f>+N20+N14+N16</f>
        <v>2503017.14</v>
      </c>
      <c r="O22" s="176">
        <f>+O20+O14+O16</f>
        <v>1536785.23</v>
      </c>
      <c r="P22" s="176"/>
      <c r="Q22" s="176"/>
      <c r="R22" s="176"/>
      <c r="S22" s="176"/>
      <c r="T22" s="176">
        <f>+T14+T16+T18+T20</f>
        <v>11353006.869999999</v>
      </c>
      <c r="U22" s="857"/>
    </row>
    <row r="23" spans="1:21" ht="31.5" customHeight="1" x14ac:dyDescent="0.25">
      <c r="T23" s="2"/>
      <c r="U23" s="857"/>
    </row>
    <row r="24" spans="1:21" ht="31.5" customHeight="1" x14ac:dyDescent="0.25">
      <c r="A24" s="739">
        <v>50100</v>
      </c>
      <c r="B24" s="739">
        <v>139001</v>
      </c>
      <c r="F24" s="305">
        <f>SUM(H24:S24)</f>
        <v>17287597.599999998</v>
      </c>
      <c r="I24" s="166">
        <f t="shared" ref="I24:S24" si="7">VLOOKUP($A24&amp;$B24&amp;I$10,Base,8,FALSE)</f>
        <v>0</v>
      </c>
      <c r="J24" s="166">
        <f t="shared" si="7"/>
        <v>1342815.28</v>
      </c>
      <c r="K24" s="166">
        <f t="shared" si="7"/>
        <v>671407.64</v>
      </c>
      <c r="L24" s="166">
        <f t="shared" si="7"/>
        <v>671407.64</v>
      </c>
      <c r="M24" s="166">
        <f t="shared" si="7"/>
        <v>2979081.2</v>
      </c>
      <c r="N24" s="166">
        <f t="shared" si="7"/>
        <v>2402162.8199999998</v>
      </c>
      <c r="O24" s="166">
        <f t="shared" si="7"/>
        <v>1536785.23</v>
      </c>
      <c r="P24" s="166">
        <f t="shared" si="7"/>
        <v>1536785.23</v>
      </c>
      <c r="Q24" s="166">
        <f t="shared" si="7"/>
        <v>1536793.96</v>
      </c>
      <c r="R24" s="166">
        <f t="shared" si="7"/>
        <v>1536786.2</v>
      </c>
      <c r="S24" s="166">
        <f t="shared" si="7"/>
        <v>3073572.4</v>
      </c>
    </row>
    <row r="26" spans="1:21" x14ac:dyDescent="0.25">
      <c r="F26" s="9">
        <f>F13+F15</f>
        <v>17287590.246399999</v>
      </c>
    </row>
  </sheetData>
  <mergeCells count="35">
    <mergeCell ref="D17:D18"/>
    <mergeCell ref="E17:E18"/>
    <mergeCell ref="F17:F18"/>
    <mergeCell ref="D19:D20"/>
    <mergeCell ref="E19:E20"/>
    <mergeCell ref="F19:F20"/>
    <mergeCell ref="U13:U14"/>
    <mergeCell ref="S11:S12"/>
    <mergeCell ref="T11:T12"/>
    <mergeCell ref="U19:U20"/>
    <mergeCell ref="U22:U23"/>
    <mergeCell ref="D15:D16"/>
    <mergeCell ref="E15:E16"/>
    <mergeCell ref="F15:F16"/>
    <mergeCell ref="Q11:Q12"/>
    <mergeCell ref="R11:R12"/>
    <mergeCell ref="K11:K12"/>
    <mergeCell ref="L11:L12"/>
    <mergeCell ref="M11:M12"/>
    <mergeCell ref="N11:N12"/>
    <mergeCell ref="O11:O12"/>
    <mergeCell ref="P11:P12"/>
    <mergeCell ref="D13:D14"/>
    <mergeCell ref="E13:E14"/>
    <mergeCell ref="F13:F14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9" fitToHeight="21" orientation="landscape" r:id="rId1"/>
  <ignoredErrors>
    <ignoredError sqref="T14:T20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topLeftCell="A4" zoomScaleNormal="100" zoomScaleSheetLayoutView="90" zoomScalePageLayoutView="80" workbookViewId="0">
      <pane xSplit="1" ySplit="8" topLeftCell="E12" activePane="bottomRight" state="frozen"/>
      <selection activeCell="A4" sqref="A4"/>
      <selection pane="topRight" activeCell="B4" sqref="B4"/>
      <selection pane="bottomLeft" activeCell="A12" sqref="A12"/>
      <selection pane="bottomRight" activeCell="N12" sqref="N12"/>
    </sheetView>
  </sheetViews>
  <sheetFormatPr baseColWidth="10" defaultRowHeight="15" x14ac:dyDescent="0.25"/>
  <cols>
    <col min="1" max="2" width="9.42578125" customWidth="1"/>
    <col min="3" max="3" width="0.28515625" customWidth="1"/>
    <col min="4" max="4" width="21.5703125" customWidth="1"/>
    <col min="5" max="5" width="27.28515625" style="1" customWidth="1"/>
    <col min="6" max="7" width="17.7109375" customWidth="1"/>
    <col min="8" max="8" width="19.140625" customWidth="1"/>
    <col min="9" max="9" width="16.7109375" customWidth="1"/>
    <col min="10" max="10" width="16.42578125" customWidth="1"/>
    <col min="11" max="11" width="11.7109375" hidden="1" customWidth="1"/>
    <col min="12" max="12" width="10.28515625" hidden="1" customWidth="1"/>
    <col min="13" max="13" width="47.140625" customWidth="1"/>
    <col min="14" max="14" width="13.85546875" customWidth="1"/>
    <col min="15" max="15" width="28" customWidth="1"/>
    <col min="16" max="16365" width="11.42578125" customWidth="1"/>
  </cols>
  <sheetData>
    <row r="1" spans="1:14" ht="18" x14ac:dyDescent="0.25">
      <c r="D1" s="10" t="s">
        <v>25</v>
      </c>
      <c r="M1" s="11"/>
    </row>
    <row r="2" spans="1:14" ht="18" x14ac:dyDescent="0.25">
      <c r="D2" s="10" t="s">
        <v>24</v>
      </c>
    </row>
    <row r="3" spans="1:14" ht="18" x14ac:dyDescent="0.25">
      <c r="D3" s="10" t="s">
        <v>23</v>
      </c>
    </row>
    <row r="4" spans="1:14" ht="18" x14ac:dyDescent="0.25">
      <c r="D4" s="10" t="s">
        <v>22</v>
      </c>
      <c r="K4" s="9"/>
      <c r="L4" s="9"/>
    </row>
    <row r="5" spans="1:14" ht="18" x14ac:dyDescent="0.25">
      <c r="D5" s="10" t="s">
        <v>21</v>
      </c>
      <c r="I5" s="9"/>
    </row>
    <row r="6" spans="1:14" ht="20.25" x14ac:dyDescent="0.3">
      <c r="D6" s="14" t="s">
        <v>20</v>
      </c>
      <c r="E6" s="15"/>
      <c r="F6" s="16"/>
      <c r="G6" s="16"/>
      <c r="H6" s="17"/>
      <c r="I6" s="320"/>
      <c r="J6" s="17"/>
      <c r="K6" s="17"/>
      <c r="L6" s="17"/>
      <c r="M6" s="378"/>
    </row>
    <row r="7" spans="1:14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4" ht="18" x14ac:dyDescent="0.25">
      <c r="D8" s="39" t="s">
        <v>31</v>
      </c>
      <c r="E8" s="10" t="s">
        <v>133</v>
      </c>
      <c r="G8" s="9"/>
      <c r="H8" s="9"/>
      <c r="I8" s="9"/>
      <c r="J8" s="9"/>
    </row>
    <row r="9" spans="1:14" ht="15.75" thickBot="1" x14ac:dyDescent="0.3">
      <c r="I9" s="2"/>
    </row>
    <row r="10" spans="1:14" ht="18" customHeight="1" thickBot="1" x14ac:dyDescent="0.3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215</v>
      </c>
      <c r="H10" s="948" t="s">
        <v>90</v>
      </c>
      <c r="I10" s="950"/>
      <c r="J10" s="835" t="s">
        <v>27</v>
      </c>
      <c r="K10" s="836"/>
      <c r="L10" s="837" t="s">
        <v>28</v>
      </c>
      <c r="M10" s="834" t="s">
        <v>14</v>
      </c>
    </row>
    <row r="11" spans="1:14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838"/>
      <c r="H11" s="391" t="s">
        <v>91</v>
      </c>
      <c r="I11" s="392" t="s">
        <v>92</v>
      </c>
      <c r="J11" s="72" t="s">
        <v>962</v>
      </c>
      <c r="K11" s="26" t="s">
        <v>29</v>
      </c>
      <c r="L11" s="838"/>
      <c r="M11" s="867"/>
    </row>
    <row r="12" spans="1:14" ht="44.25" customHeight="1" thickTop="1" x14ac:dyDescent="0.25">
      <c r="A12" s="381">
        <v>142416</v>
      </c>
      <c r="B12" s="308">
        <v>200200</v>
      </c>
      <c r="C12" s="382" t="s">
        <v>461</v>
      </c>
      <c r="D12" s="240" t="s">
        <v>462</v>
      </c>
      <c r="E12" s="393" t="s">
        <v>463</v>
      </c>
      <c r="F12" s="350">
        <f>JAL_Calendario!F14</f>
        <v>99033.840000000011</v>
      </c>
      <c r="G12" s="351">
        <f>F12/12</f>
        <v>8252.8200000000015</v>
      </c>
      <c r="H12" s="65">
        <f ca="1">JAL_Calendario!T14</f>
        <v>74277.000000000015</v>
      </c>
      <c r="I12" s="65">
        <f>JAL_Calendario!T15</f>
        <v>66760.200000000012</v>
      </c>
      <c r="J12" s="73">
        <f t="shared" ref="J12:J46" ca="1" si="0">H12-I12</f>
        <v>7516.8000000000029</v>
      </c>
      <c r="K12" s="74">
        <f ca="1">+J12/H12*100</f>
        <v>10.119956379498367</v>
      </c>
      <c r="L12" s="75">
        <f ca="1">+I12/H12*100</f>
        <v>89.880043620501638</v>
      </c>
      <c r="M12" s="362" t="s">
        <v>542</v>
      </c>
      <c r="N12" s="9"/>
    </row>
    <row r="13" spans="1:14" ht="68.25" customHeight="1" x14ac:dyDescent="0.25">
      <c r="A13" s="385">
        <v>142421</v>
      </c>
      <c r="B13" s="311">
        <v>200200</v>
      </c>
      <c r="C13" s="314" t="s">
        <v>464</v>
      </c>
      <c r="D13" s="394" t="s">
        <v>465</v>
      </c>
      <c r="E13" s="393" t="s">
        <v>466</v>
      </c>
      <c r="F13" s="350">
        <f>JAL_Calendario!F16</f>
        <v>34800</v>
      </c>
      <c r="G13" s="351">
        <f t="shared" ref="G13:G44" si="1">+F13/12</f>
        <v>2900</v>
      </c>
      <c r="H13" s="65">
        <f ca="1">JAL_Calendario!T16</f>
        <v>26100</v>
      </c>
      <c r="I13" s="65">
        <f>JAL_Calendario!T17</f>
        <v>23200</v>
      </c>
      <c r="J13" s="73">
        <f t="shared" ca="1" si="0"/>
        <v>2900</v>
      </c>
      <c r="K13" s="74">
        <f t="shared" ref="K13:K44" ca="1" si="2">+J13/H13*100</f>
        <v>11.111111111111111</v>
      </c>
      <c r="L13" s="75">
        <f t="shared" ref="L13:L44" ca="1" si="3">+I13/H13*100</f>
        <v>88.888888888888886</v>
      </c>
      <c r="M13" s="362" t="s">
        <v>975</v>
      </c>
      <c r="N13" s="9"/>
    </row>
    <row r="14" spans="1:14" ht="34.5" customHeight="1" x14ac:dyDescent="0.25">
      <c r="A14" s="385">
        <v>142211</v>
      </c>
      <c r="B14" s="311">
        <v>200200</v>
      </c>
      <c r="C14" s="314" t="s">
        <v>467</v>
      </c>
      <c r="D14" s="240" t="s">
        <v>468</v>
      </c>
      <c r="E14" s="395" t="s">
        <v>469</v>
      </c>
      <c r="F14" s="350">
        <f>JAL_Calendario!F18</f>
        <v>76949.759999999995</v>
      </c>
      <c r="G14" s="351">
        <f t="shared" si="1"/>
        <v>6412.48</v>
      </c>
      <c r="H14" s="65">
        <f ca="1">JAL_Calendario!T18</f>
        <v>57717</v>
      </c>
      <c r="I14" s="65">
        <f>JAL_Calendario!T19</f>
        <v>51299.839999999997</v>
      </c>
      <c r="J14" s="73">
        <f t="shared" ca="1" si="0"/>
        <v>6417.1600000000035</v>
      </c>
      <c r="K14" s="74">
        <f t="shared" ca="1" si="2"/>
        <v>11.118318692932764</v>
      </c>
      <c r="L14" s="75">
        <f t="shared" ca="1" si="3"/>
        <v>88.88168130706724</v>
      </c>
      <c r="M14" s="362" t="s">
        <v>975</v>
      </c>
      <c r="N14" s="9"/>
    </row>
    <row r="15" spans="1:14" ht="56.25" customHeight="1" x14ac:dyDescent="0.25">
      <c r="A15" s="385">
        <v>142212</v>
      </c>
      <c r="B15" s="311">
        <v>200200</v>
      </c>
      <c r="C15" s="314" t="s">
        <v>470</v>
      </c>
      <c r="D15" s="240" t="s">
        <v>471</v>
      </c>
      <c r="E15" s="393" t="s">
        <v>472</v>
      </c>
      <c r="F15" s="350">
        <f>JAL_Calendario!F20</f>
        <v>180960</v>
      </c>
      <c r="G15" s="351">
        <f t="shared" si="1"/>
        <v>15080</v>
      </c>
      <c r="H15" s="65">
        <f ca="1">JAL_Calendario!T20</f>
        <v>135720</v>
      </c>
      <c r="I15" s="65">
        <f>JAL_Calendario!T21</f>
        <v>105557.48</v>
      </c>
      <c r="J15" s="73">
        <f t="shared" ca="1" si="0"/>
        <v>30162.520000000004</v>
      </c>
      <c r="K15" s="74">
        <f t="shared" ca="1" si="2"/>
        <v>22.224078986147955</v>
      </c>
      <c r="L15" s="75">
        <f t="shared" ca="1" si="3"/>
        <v>77.775921013852042</v>
      </c>
      <c r="M15" s="362" t="s">
        <v>542</v>
      </c>
      <c r="N15" s="9"/>
    </row>
    <row r="16" spans="1:14" ht="63.75" customHeight="1" x14ac:dyDescent="0.25">
      <c r="A16" s="385">
        <v>142443</v>
      </c>
      <c r="B16" s="311">
        <v>200200</v>
      </c>
      <c r="C16" s="314" t="s">
        <v>470</v>
      </c>
      <c r="D16" s="396" t="s">
        <v>473</v>
      </c>
      <c r="E16" s="397" t="s">
        <v>474</v>
      </c>
      <c r="F16" s="350">
        <f>JAL_Calendario!F22</f>
        <v>627671.5</v>
      </c>
      <c r="G16" s="351">
        <f>F16/12</f>
        <v>52305.958333333336</v>
      </c>
      <c r="H16" s="65">
        <f ca="1">JAL_Calendario!T22</f>
        <v>406141</v>
      </c>
      <c r="I16" s="65">
        <f>JAL_Calendario!T23</f>
        <v>258453.09</v>
      </c>
      <c r="J16" s="73">
        <f t="shared" ca="1" si="0"/>
        <v>147687.91</v>
      </c>
      <c r="K16" s="74">
        <f t="shared" ca="1" si="2"/>
        <v>36.363703738356875</v>
      </c>
      <c r="L16" s="75">
        <f t="shared" ca="1" si="3"/>
        <v>63.636296261643125</v>
      </c>
      <c r="M16" s="362" t="s">
        <v>541</v>
      </c>
      <c r="N16" s="9"/>
    </row>
    <row r="17" spans="1:14" ht="43.5" customHeight="1" x14ac:dyDescent="0.25">
      <c r="A17" s="385">
        <v>142423</v>
      </c>
      <c r="B17" s="311">
        <v>200200</v>
      </c>
      <c r="C17" s="314" t="s">
        <v>475</v>
      </c>
      <c r="D17" s="396" t="s">
        <v>476</v>
      </c>
      <c r="E17" s="397" t="s">
        <v>477</v>
      </c>
      <c r="F17" s="350">
        <f>JAL_Calendario!F24</f>
        <v>73984.799999999988</v>
      </c>
      <c r="G17" s="351">
        <f>F17/12</f>
        <v>6165.3999999999987</v>
      </c>
      <c r="H17" s="65">
        <f ca="1">JAL_Calendario!T24</f>
        <v>55493.999999999993</v>
      </c>
      <c r="I17" s="65">
        <f>JAL_Calendario!T25</f>
        <v>49313.919999999991</v>
      </c>
      <c r="J17" s="73">
        <f t="shared" ca="1" si="0"/>
        <v>6180.0800000000017</v>
      </c>
      <c r="K17" s="74">
        <f t="shared" ca="1" si="2"/>
        <v>11.136483223411545</v>
      </c>
      <c r="L17" s="75">
        <f t="shared" ca="1" si="3"/>
        <v>88.863516776588455</v>
      </c>
      <c r="M17" s="362" t="s">
        <v>975</v>
      </c>
      <c r="N17" s="9"/>
    </row>
    <row r="18" spans="1:14" ht="58.5" customHeight="1" x14ac:dyDescent="0.25">
      <c r="A18" s="385">
        <v>142409</v>
      </c>
      <c r="B18" s="311">
        <v>200200</v>
      </c>
      <c r="C18" s="314" t="s">
        <v>478</v>
      </c>
      <c r="D18" s="396" t="s">
        <v>479</v>
      </c>
      <c r="E18" s="397" t="s">
        <v>480</v>
      </c>
      <c r="F18" s="350">
        <f>JAL_Calendario!F26</f>
        <v>271440</v>
      </c>
      <c r="G18" s="351">
        <f t="shared" si="1"/>
        <v>22620</v>
      </c>
      <c r="H18" s="65">
        <f ca="1">JAL_Calendario!T26</f>
        <v>203580</v>
      </c>
      <c r="I18" s="65">
        <f>JAL_Calendario!T27</f>
        <v>180960</v>
      </c>
      <c r="J18" s="73">
        <f t="shared" ca="1" si="0"/>
        <v>22620</v>
      </c>
      <c r="K18" s="74">
        <f t="shared" ca="1" si="2"/>
        <v>11.111111111111111</v>
      </c>
      <c r="L18" s="75">
        <f t="shared" ca="1" si="3"/>
        <v>88.888888888888886</v>
      </c>
      <c r="M18" s="362" t="s">
        <v>975</v>
      </c>
      <c r="N18" s="9"/>
    </row>
    <row r="19" spans="1:14" ht="51" customHeight="1" x14ac:dyDescent="0.25">
      <c r="A19" s="385">
        <v>142450</v>
      </c>
      <c r="B19" s="311">
        <v>200200</v>
      </c>
      <c r="C19" s="314" t="s">
        <v>470</v>
      </c>
      <c r="D19" s="396" t="s">
        <v>481</v>
      </c>
      <c r="E19" s="397" t="s">
        <v>482</v>
      </c>
      <c r="F19" s="350">
        <f>JAL_Calendario!F28</f>
        <v>69600</v>
      </c>
      <c r="G19" s="351">
        <f t="shared" si="1"/>
        <v>5800</v>
      </c>
      <c r="H19" s="65">
        <f ca="1">JAL_Calendario!T28</f>
        <v>52199.999999999993</v>
      </c>
      <c r="I19" s="65">
        <f>JAL_Calendario!T29</f>
        <v>46399.919999999991</v>
      </c>
      <c r="J19" s="73">
        <f t="shared" ca="1" si="0"/>
        <v>5800.0800000000017</v>
      </c>
      <c r="K19" s="74">
        <f t="shared" ca="1" si="2"/>
        <v>11.111264367816096</v>
      </c>
      <c r="L19" s="75">
        <f t="shared" ca="1" si="3"/>
        <v>88.888735632183895</v>
      </c>
      <c r="M19" s="362" t="s">
        <v>975</v>
      </c>
      <c r="N19" s="9"/>
    </row>
    <row r="20" spans="1:14" ht="45" customHeight="1" x14ac:dyDescent="0.25">
      <c r="A20" s="385">
        <v>142470</v>
      </c>
      <c r="B20" s="311">
        <v>200200</v>
      </c>
      <c r="C20" s="314" t="s">
        <v>478</v>
      </c>
      <c r="D20" s="396" t="s">
        <v>483</v>
      </c>
      <c r="E20" s="397" t="s">
        <v>484</v>
      </c>
      <c r="F20" s="350">
        <f>JAL_Calendario!F30</f>
        <v>83515.13</v>
      </c>
      <c r="G20" s="351">
        <f>F20/12</f>
        <v>6959.5941666666668</v>
      </c>
      <c r="H20" s="65">
        <f ca="1">JAL_Calendario!T30</f>
        <v>62640</v>
      </c>
      <c r="I20" s="65">
        <f>JAL_Calendario!T31</f>
        <v>55674.96</v>
      </c>
      <c r="J20" s="73">
        <f t="shared" ca="1" si="0"/>
        <v>6965.0400000000009</v>
      </c>
      <c r="K20" s="74">
        <f t="shared" ca="1" si="2"/>
        <v>11.119157088122607</v>
      </c>
      <c r="L20" s="75">
        <f t="shared" ca="1" si="3"/>
        <v>88.880842911877394</v>
      </c>
      <c r="M20" s="362" t="s">
        <v>975</v>
      </c>
      <c r="N20" s="9"/>
    </row>
    <row r="21" spans="1:14" ht="34.5" customHeight="1" x14ac:dyDescent="0.25">
      <c r="A21" s="385">
        <v>142486</v>
      </c>
      <c r="B21" s="311">
        <v>200200</v>
      </c>
      <c r="C21" s="314" t="s">
        <v>485</v>
      </c>
      <c r="D21" s="396" t="s">
        <v>486</v>
      </c>
      <c r="E21" s="397" t="s">
        <v>487</v>
      </c>
      <c r="F21" s="350">
        <f>JAL_Calendario!F32</f>
        <v>104400</v>
      </c>
      <c r="G21" s="351">
        <f t="shared" si="1"/>
        <v>8700</v>
      </c>
      <c r="H21" s="65">
        <f ca="1">JAL_Calendario!T32</f>
        <v>78300</v>
      </c>
      <c r="I21" s="65">
        <f>JAL_Calendario!T33</f>
        <v>78300</v>
      </c>
      <c r="J21" s="73">
        <f t="shared" ca="1" si="0"/>
        <v>0</v>
      </c>
      <c r="K21" s="74">
        <f t="shared" ca="1" si="2"/>
        <v>0</v>
      </c>
      <c r="L21" s="75">
        <f t="shared" ca="1" si="3"/>
        <v>100</v>
      </c>
      <c r="M21" s="362" t="s">
        <v>975</v>
      </c>
      <c r="N21" s="9"/>
    </row>
    <row r="22" spans="1:14" ht="34.5" customHeight="1" x14ac:dyDescent="0.25">
      <c r="A22" s="385">
        <v>142487</v>
      </c>
      <c r="B22" s="311">
        <v>200200</v>
      </c>
      <c r="C22" s="314" t="s">
        <v>488</v>
      </c>
      <c r="D22" s="396" t="s">
        <v>489</v>
      </c>
      <c r="E22" s="397" t="s">
        <v>490</v>
      </c>
      <c r="F22" s="350">
        <f>JAL_Calendario!F34</f>
        <v>43875.839999999997</v>
      </c>
      <c r="G22" s="351">
        <f t="shared" si="1"/>
        <v>3656.3199999999997</v>
      </c>
      <c r="H22" s="65">
        <f ca="1">JAL_Calendario!T34</f>
        <v>32913</v>
      </c>
      <c r="I22" s="65">
        <f>JAL_Calendario!T35</f>
        <v>21937.920000000002</v>
      </c>
      <c r="J22" s="73">
        <f t="shared" ca="1" si="0"/>
        <v>10975.079999999998</v>
      </c>
      <c r="K22" s="74">
        <f t="shared" ca="1" si="2"/>
        <v>33.345729650897816</v>
      </c>
      <c r="L22" s="75">
        <f t="shared" ca="1" si="3"/>
        <v>66.654270349102191</v>
      </c>
      <c r="M22" s="362" t="s">
        <v>541</v>
      </c>
      <c r="N22" s="9"/>
    </row>
    <row r="23" spans="1:14" ht="34.5" customHeight="1" x14ac:dyDescent="0.25">
      <c r="A23" s="385">
        <v>142419</v>
      </c>
      <c r="B23" s="311">
        <v>200200</v>
      </c>
      <c r="C23" s="314" t="s">
        <v>475</v>
      </c>
      <c r="D23" s="396" t="s">
        <v>491</v>
      </c>
      <c r="E23" s="397" t="s">
        <v>492</v>
      </c>
      <c r="F23" s="350">
        <f>JAL_Calendario!F36</f>
        <v>208800</v>
      </c>
      <c r="G23" s="351">
        <f t="shared" si="1"/>
        <v>17400</v>
      </c>
      <c r="H23" s="65">
        <f ca="1">JAL_Calendario!T36</f>
        <v>156600</v>
      </c>
      <c r="I23" s="65">
        <f>JAL_Calendario!T37</f>
        <v>139199.96</v>
      </c>
      <c r="J23" s="73">
        <f t="shared" ca="1" si="0"/>
        <v>17400.040000000008</v>
      </c>
      <c r="K23" s="74">
        <f t="shared" ca="1" si="2"/>
        <v>11.111136653895279</v>
      </c>
      <c r="L23" s="75">
        <f t="shared" ca="1" si="3"/>
        <v>88.888863346104714</v>
      </c>
      <c r="M23" s="362" t="s">
        <v>975</v>
      </c>
      <c r="N23" s="9"/>
    </row>
    <row r="24" spans="1:14" ht="64.5" customHeight="1" x14ac:dyDescent="0.25">
      <c r="A24" s="385">
        <v>142420</v>
      </c>
      <c r="B24" s="311">
        <v>200200</v>
      </c>
      <c r="C24" s="314" t="s">
        <v>461</v>
      </c>
      <c r="D24" s="396" t="s">
        <v>493</v>
      </c>
      <c r="E24" s="397" t="s">
        <v>494</v>
      </c>
      <c r="F24" s="350">
        <f>JAL_Calendario!F38</f>
        <v>858400</v>
      </c>
      <c r="G24" s="351">
        <f t="shared" si="1"/>
        <v>71533.333333333328</v>
      </c>
      <c r="H24" s="65">
        <f ca="1">JAL_Calendario!T38</f>
        <v>632200</v>
      </c>
      <c r="I24" s="65">
        <f>JAL_Calendario!T39</f>
        <v>545199.52</v>
      </c>
      <c r="J24" s="73">
        <f t="shared" ca="1" si="0"/>
        <v>87000.479999999981</v>
      </c>
      <c r="K24" s="74">
        <f t="shared" ca="1" si="2"/>
        <v>13.761543815248336</v>
      </c>
      <c r="L24" s="75">
        <f t="shared" ca="1" si="3"/>
        <v>86.238456184751669</v>
      </c>
      <c r="M24" s="362" t="s">
        <v>542</v>
      </c>
      <c r="N24" s="9"/>
    </row>
    <row r="25" spans="1:14" ht="48" customHeight="1" x14ac:dyDescent="0.25">
      <c r="A25" s="385">
        <v>142488</v>
      </c>
      <c r="B25" s="311">
        <v>200200</v>
      </c>
      <c r="C25" s="314" t="s">
        <v>470</v>
      </c>
      <c r="D25" s="396" t="s">
        <v>495</v>
      </c>
      <c r="E25" s="397" t="s">
        <v>496</v>
      </c>
      <c r="F25" s="350">
        <f>JAL_Calendario!F40</f>
        <v>58464</v>
      </c>
      <c r="G25" s="351">
        <f t="shared" si="1"/>
        <v>4872</v>
      </c>
      <c r="H25" s="65">
        <f ca="1">JAL_Calendario!T40</f>
        <v>43848</v>
      </c>
      <c r="I25" s="65">
        <f>JAL_Calendario!T41</f>
        <v>38976</v>
      </c>
      <c r="J25" s="73">
        <f t="shared" ca="1" si="0"/>
        <v>4872</v>
      </c>
      <c r="K25" s="74">
        <f t="shared" ca="1" si="2"/>
        <v>11.111111111111111</v>
      </c>
      <c r="L25" s="75">
        <f t="shared" ca="1" si="3"/>
        <v>88.888888888888886</v>
      </c>
      <c r="M25" s="362" t="s">
        <v>975</v>
      </c>
      <c r="N25" s="9"/>
    </row>
    <row r="26" spans="1:14" ht="45.75" customHeight="1" x14ac:dyDescent="0.25">
      <c r="A26" s="385">
        <v>142477</v>
      </c>
      <c r="B26" s="311">
        <v>200200</v>
      </c>
      <c r="C26" s="314" t="s">
        <v>497</v>
      </c>
      <c r="D26" s="396" t="s">
        <v>498</v>
      </c>
      <c r="E26" s="397" t="s">
        <v>499</v>
      </c>
      <c r="F26" s="350">
        <f>JAL_Calendario!F42</f>
        <v>38976</v>
      </c>
      <c r="G26" s="351">
        <f t="shared" si="1"/>
        <v>3248</v>
      </c>
      <c r="H26" s="65">
        <f ca="1">JAL_Calendario!T42</f>
        <v>29232</v>
      </c>
      <c r="I26" s="65">
        <f>JAL_Calendario!T43</f>
        <v>16239.15</v>
      </c>
      <c r="J26" s="73">
        <f t="shared" ca="1" si="0"/>
        <v>12992.85</v>
      </c>
      <c r="K26" s="74">
        <f t="shared" ca="1" si="2"/>
        <v>44.447352216748769</v>
      </c>
      <c r="L26" s="75">
        <f t="shared" ca="1" si="3"/>
        <v>55.552647783251231</v>
      </c>
      <c r="M26" s="362" t="s">
        <v>541</v>
      </c>
      <c r="N26" s="9"/>
    </row>
    <row r="27" spans="1:14" ht="41.25" customHeight="1" x14ac:dyDescent="0.25">
      <c r="A27" s="386">
        <v>142445</v>
      </c>
      <c r="B27" s="311">
        <v>200200</v>
      </c>
      <c r="C27" s="314" t="s">
        <v>461</v>
      </c>
      <c r="D27" s="396" t="s">
        <v>500</v>
      </c>
      <c r="E27" s="397" t="s">
        <v>501</v>
      </c>
      <c r="F27" s="350">
        <f>JAL_Calendario!F44</f>
        <v>16881.48</v>
      </c>
      <c r="G27" s="351">
        <f t="shared" si="1"/>
        <v>1406.79</v>
      </c>
      <c r="H27" s="65">
        <f ca="1">JAL_Calendario!T44</f>
        <v>12663</v>
      </c>
      <c r="I27" s="65">
        <f>JAL_Calendario!T45</f>
        <v>9847.4600000000009</v>
      </c>
      <c r="J27" s="73">
        <f t="shared" ca="1" si="0"/>
        <v>2815.5399999999991</v>
      </c>
      <c r="K27" s="74">
        <f t="shared" ca="1" si="2"/>
        <v>22.234383637368705</v>
      </c>
      <c r="L27" s="75">
        <f t="shared" ca="1" si="3"/>
        <v>77.765616362631292</v>
      </c>
      <c r="M27" s="362" t="s">
        <v>542</v>
      </c>
      <c r="N27" s="9"/>
    </row>
    <row r="28" spans="1:14" ht="50.25" customHeight="1" x14ac:dyDescent="0.25">
      <c r="A28" s="387" t="s">
        <v>502</v>
      </c>
      <c r="B28" s="311">
        <v>200200</v>
      </c>
      <c r="C28" s="314"/>
      <c r="D28" s="396" t="s">
        <v>503</v>
      </c>
      <c r="E28" s="397" t="s">
        <v>504</v>
      </c>
      <c r="F28" s="350">
        <f>JAL_Calendario!F46</f>
        <v>10961</v>
      </c>
      <c r="G28" s="351">
        <f t="shared" si="1"/>
        <v>913.41666666666663</v>
      </c>
      <c r="H28" s="65">
        <f ca="1">JAL_Calendario!T46</f>
        <v>0</v>
      </c>
      <c r="I28" s="65">
        <f>JAL_Calendario!T47</f>
        <v>7304</v>
      </c>
      <c r="J28" s="73">
        <f t="shared" ca="1" si="0"/>
        <v>-7304</v>
      </c>
      <c r="K28" s="74" t="e">
        <f t="shared" ca="1" si="2"/>
        <v>#DIV/0!</v>
      </c>
      <c r="L28" s="75" t="e">
        <f t="shared" ca="1" si="3"/>
        <v>#DIV/0!</v>
      </c>
      <c r="M28" s="362" t="s">
        <v>975</v>
      </c>
      <c r="N28" s="9"/>
    </row>
    <row r="29" spans="1:14" ht="73.5" customHeight="1" x14ac:dyDescent="0.25">
      <c r="A29" s="386">
        <v>142446</v>
      </c>
      <c r="B29" s="311">
        <v>200200</v>
      </c>
      <c r="C29" s="314" t="s">
        <v>461</v>
      </c>
      <c r="D29" s="396" t="s">
        <v>505</v>
      </c>
      <c r="E29" s="397" t="s">
        <v>506</v>
      </c>
      <c r="F29" s="350">
        <f>JAL_Calendario!F48</f>
        <v>70992</v>
      </c>
      <c r="G29" s="351">
        <f t="shared" si="1"/>
        <v>5916</v>
      </c>
      <c r="H29" s="65">
        <f ca="1">JAL_Calendario!T48</f>
        <v>53244</v>
      </c>
      <c r="I29" s="65">
        <f>JAL_Calendario!T49</f>
        <v>47328</v>
      </c>
      <c r="J29" s="73">
        <f t="shared" ca="1" si="0"/>
        <v>5916</v>
      </c>
      <c r="K29" s="74">
        <f t="shared" ca="1" si="2"/>
        <v>11.111111111111111</v>
      </c>
      <c r="L29" s="75">
        <f t="shared" ca="1" si="3"/>
        <v>88.888888888888886</v>
      </c>
      <c r="M29" s="362" t="s">
        <v>975</v>
      </c>
      <c r="N29" s="9"/>
    </row>
    <row r="30" spans="1:14" ht="58.5" customHeight="1" x14ac:dyDescent="0.25">
      <c r="A30" s="386">
        <v>142474</v>
      </c>
      <c r="B30" s="311">
        <v>200200</v>
      </c>
      <c r="C30" s="314" t="s">
        <v>461</v>
      </c>
      <c r="D30" s="396" t="s">
        <v>507</v>
      </c>
      <c r="E30" s="397" t="s">
        <v>508</v>
      </c>
      <c r="F30" s="350">
        <f>JAL_Calendario!F50</f>
        <v>73303.3</v>
      </c>
      <c r="G30" s="351">
        <f>F30/12</f>
        <v>6108.6083333333336</v>
      </c>
      <c r="H30" s="65">
        <f ca="1">JAL_Calendario!T50</f>
        <v>57895.6</v>
      </c>
      <c r="I30" s="65">
        <f>JAL_Calendario!T51</f>
        <v>37352</v>
      </c>
      <c r="J30" s="73">
        <f t="shared" ca="1" si="0"/>
        <v>20543.599999999999</v>
      </c>
      <c r="K30" s="74">
        <f t="shared" ca="1" si="2"/>
        <v>35.483870967741929</v>
      </c>
      <c r="L30" s="75">
        <f t="shared" ca="1" si="3"/>
        <v>64.516129032258064</v>
      </c>
      <c r="M30" s="362" t="s">
        <v>542</v>
      </c>
      <c r="N30" s="9"/>
    </row>
    <row r="31" spans="1:14" ht="45" customHeight="1" x14ac:dyDescent="0.25">
      <c r="A31" s="386">
        <v>142455</v>
      </c>
      <c r="B31" s="311">
        <v>200201</v>
      </c>
      <c r="C31" s="382" t="s">
        <v>461</v>
      </c>
      <c r="D31" s="396" t="s">
        <v>509</v>
      </c>
      <c r="E31" s="397" t="s">
        <v>510</v>
      </c>
      <c r="F31" s="350">
        <f>JAL_Calendario!F52</f>
        <v>31278.239999999998</v>
      </c>
      <c r="G31" s="351">
        <f t="shared" si="1"/>
        <v>2606.52</v>
      </c>
      <c r="H31" s="65">
        <f ca="1">JAL_Calendario!T52</f>
        <v>23463</v>
      </c>
      <c r="I31" s="65">
        <f>JAL_Calendario!T53</f>
        <v>20852.16</v>
      </c>
      <c r="J31" s="73">
        <f t="shared" ca="1" si="0"/>
        <v>2610.84</v>
      </c>
      <c r="K31" s="74">
        <f t="shared" ca="1" si="2"/>
        <v>11.127477304692496</v>
      </c>
      <c r="L31" s="75">
        <f t="shared" ca="1" si="3"/>
        <v>88.872522695307509</v>
      </c>
      <c r="M31" s="362" t="s">
        <v>975</v>
      </c>
      <c r="N31" s="9"/>
    </row>
    <row r="32" spans="1:14" ht="65.25" customHeight="1" x14ac:dyDescent="0.25">
      <c r="A32" s="386">
        <v>142418</v>
      </c>
      <c r="B32" s="311">
        <v>200200</v>
      </c>
      <c r="C32" s="382" t="s">
        <v>461</v>
      </c>
      <c r="D32" s="396" t="s">
        <v>511</v>
      </c>
      <c r="E32" s="397" t="s">
        <v>512</v>
      </c>
      <c r="F32" s="350">
        <f>JAL_Calendario!F54</f>
        <v>41760</v>
      </c>
      <c r="G32" s="351">
        <f t="shared" si="1"/>
        <v>3480</v>
      </c>
      <c r="H32" s="65">
        <f ca="1">JAL_Calendario!T54</f>
        <v>31320</v>
      </c>
      <c r="I32" s="65">
        <f>JAL_Calendario!T55</f>
        <v>24360</v>
      </c>
      <c r="J32" s="73">
        <f t="shared" ca="1" si="0"/>
        <v>6960</v>
      </c>
      <c r="K32" s="74">
        <f t="shared" ca="1" si="2"/>
        <v>22.222222222222221</v>
      </c>
      <c r="L32" s="75">
        <f t="shared" ca="1" si="3"/>
        <v>77.777777777777786</v>
      </c>
      <c r="M32" s="362" t="s">
        <v>542</v>
      </c>
      <c r="N32" s="9"/>
    </row>
    <row r="33" spans="1:15" ht="48" customHeight="1" x14ac:dyDescent="0.25">
      <c r="A33" s="386">
        <v>142448</v>
      </c>
      <c r="B33" s="311">
        <v>200200</v>
      </c>
      <c r="C33" s="388"/>
      <c r="D33" s="240" t="s">
        <v>513</v>
      </c>
      <c r="E33" s="397" t="s">
        <v>514</v>
      </c>
      <c r="F33" s="350">
        <f>JAL_Calendario!F56</f>
        <v>13368</v>
      </c>
      <c r="G33" s="351">
        <f t="shared" si="1"/>
        <v>1114</v>
      </c>
      <c r="H33" s="65">
        <f ca="1">JAL_Calendario!T56</f>
        <v>10026</v>
      </c>
      <c r="I33" s="65">
        <f>JAL_Calendario!T57</f>
        <v>8911.6</v>
      </c>
      <c r="J33" s="73">
        <f t="shared" ca="1" si="0"/>
        <v>1114.3999999999996</v>
      </c>
      <c r="K33" s="74">
        <f t="shared" ca="1" si="2"/>
        <v>11.115100738080985</v>
      </c>
      <c r="L33" s="75">
        <f t="shared" ca="1" si="3"/>
        <v>88.884899261919017</v>
      </c>
      <c r="M33" s="362" t="s">
        <v>975</v>
      </c>
      <c r="N33" s="9"/>
    </row>
    <row r="34" spans="1:15" ht="46.5" customHeight="1" x14ac:dyDescent="0.25">
      <c r="A34" s="386">
        <v>142491</v>
      </c>
      <c r="B34" s="311">
        <v>200200</v>
      </c>
      <c r="C34" s="382" t="s">
        <v>461</v>
      </c>
      <c r="D34" s="396" t="s">
        <v>515</v>
      </c>
      <c r="E34" s="397" t="s">
        <v>516</v>
      </c>
      <c r="F34" s="350">
        <f>JAL_Calendario!F58</f>
        <v>59243.999999999993</v>
      </c>
      <c r="G34" s="351">
        <f>+F34/12</f>
        <v>4936.9999999999991</v>
      </c>
      <c r="H34" s="65">
        <f ca="1">JAL_Calendario!T58</f>
        <v>44432.999999999993</v>
      </c>
      <c r="I34" s="65">
        <f>JAL_Calendario!T59</f>
        <v>39494.959999999992</v>
      </c>
      <c r="J34" s="73">
        <f t="shared" ca="1" si="0"/>
        <v>4938.0400000000009</v>
      </c>
      <c r="K34" s="74">
        <f t="shared" ca="1" si="2"/>
        <v>11.11345171381631</v>
      </c>
      <c r="L34" s="75">
        <f t="shared" ca="1" si="3"/>
        <v>88.886548286183682</v>
      </c>
      <c r="M34" s="362" t="s">
        <v>975</v>
      </c>
      <c r="N34" s="9"/>
    </row>
    <row r="35" spans="1:15" ht="49.5" customHeight="1" x14ac:dyDescent="0.25">
      <c r="A35" s="386">
        <v>142490</v>
      </c>
      <c r="B35" s="311">
        <v>200200</v>
      </c>
      <c r="C35" s="314" t="s">
        <v>461</v>
      </c>
      <c r="D35" s="396" t="s">
        <v>517</v>
      </c>
      <c r="E35" s="397" t="s">
        <v>518</v>
      </c>
      <c r="F35" s="350">
        <f>JAL_Calendario!F60</f>
        <v>116928</v>
      </c>
      <c r="G35" s="351">
        <f t="shared" si="1"/>
        <v>9744</v>
      </c>
      <c r="H35" s="65">
        <f ca="1">JAL_Calendario!T60</f>
        <v>87696</v>
      </c>
      <c r="I35" s="65">
        <f>JAL_Calendario!T61</f>
        <v>77952</v>
      </c>
      <c r="J35" s="73">
        <f t="shared" ca="1" si="0"/>
        <v>9744</v>
      </c>
      <c r="K35" s="74">
        <f t="shared" ca="1" si="2"/>
        <v>11.111111111111111</v>
      </c>
      <c r="L35" s="75">
        <f t="shared" ca="1" si="3"/>
        <v>88.888888888888886</v>
      </c>
      <c r="M35" s="362" t="s">
        <v>975</v>
      </c>
      <c r="N35" s="9"/>
    </row>
    <row r="36" spans="1:15" ht="48.75" customHeight="1" x14ac:dyDescent="0.25">
      <c r="A36" s="386">
        <v>140501</v>
      </c>
      <c r="B36" s="311">
        <v>200217</v>
      </c>
      <c r="C36" s="314" t="s">
        <v>461</v>
      </c>
      <c r="D36" s="396" t="s">
        <v>519</v>
      </c>
      <c r="E36" s="397" t="s">
        <v>520</v>
      </c>
      <c r="F36" s="350">
        <f>JAL_Calendario!F62</f>
        <v>126136.07999999999</v>
      </c>
      <c r="G36" s="351">
        <f t="shared" si="1"/>
        <v>10511.339999999998</v>
      </c>
      <c r="H36" s="65">
        <f ca="1">JAL_Calendario!T62</f>
        <v>94607.999999999985</v>
      </c>
      <c r="I36" s="65">
        <f>JAL_Calendario!T63</f>
        <v>94602.059999999983</v>
      </c>
      <c r="J36" s="73">
        <f t="shared" ca="1" si="0"/>
        <v>5.9400000000023283</v>
      </c>
      <c r="K36" s="74">
        <f t="shared" ca="1" si="2"/>
        <v>6.2785388127878502E-3</v>
      </c>
      <c r="L36" s="75">
        <f t="shared" ca="1" si="3"/>
        <v>99.993721461187207</v>
      </c>
      <c r="M36" s="362" t="s">
        <v>975</v>
      </c>
      <c r="N36" s="9"/>
    </row>
    <row r="37" spans="1:15" ht="48" customHeight="1" x14ac:dyDescent="0.25">
      <c r="A37" s="386">
        <v>142601</v>
      </c>
      <c r="B37" s="311">
        <v>200200</v>
      </c>
      <c r="C37" s="382" t="s">
        <v>461</v>
      </c>
      <c r="D37" s="396" t="s">
        <v>521</v>
      </c>
      <c r="E37" s="397" t="s">
        <v>522</v>
      </c>
      <c r="F37" s="350">
        <f>JAL_Calendario!F64</f>
        <v>276242.40000000002</v>
      </c>
      <c r="G37" s="351">
        <f t="shared" si="1"/>
        <v>23020.2</v>
      </c>
      <c r="H37" s="65">
        <f ca="1">JAL_Calendario!T64</f>
        <v>207189</v>
      </c>
      <c r="I37" s="65">
        <f>JAL_Calendario!T65</f>
        <v>184161.6</v>
      </c>
      <c r="J37" s="73">
        <f t="shared" ca="1" si="0"/>
        <v>23027.399999999994</v>
      </c>
      <c r="K37" s="74">
        <f t="shared" ca="1" si="2"/>
        <v>11.114200078189477</v>
      </c>
      <c r="L37" s="75">
        <f ca="1">+I37/H37*100</f>
        <v>88.885799921810531</v>
      </c>
      <c r="M37" s="362" t="s">
        <v>975</v>
      </c>
      <c r="N37" s="9"/>
      <c r="O37" s="9"/>
    </row>
    <row r="38" spans="1:15" ht="46.5" customHeight="1" x14ac:dyDescent="0.25">
      <c r="A38" s="386">
        <v>149104</v>
      </c>
      <c r="B38" s="311">
        <v>900110</v>
      </c>
      <c r="C38" s="382" t="s">
        <v>461</v>
      </c>
      <c r="D38" s="396" t="s">
        <v>523</v>
      </c>
      <c r="E38" s="397" t="s">
        <v>190</v>
      </c>
      <c r="F38" s="350">
        <f>JAL_Calendario!F66</f>
        <v>121525.78</v>
      </c>
      <c r="G38" s="351">
        <f t="shared" si="1"/>
        <v>10127.148333333333</v>
      </c>
      <c r="H38" s="65">
        <f ca="1">JAL_Calendario!T66</f>
        <v>91152</v>
      </c>
      <c r="I38" s="65">
        <f>JAL_Calendario!T67</f>
        <v>81017.2</v>
      </c>
      <c r="J38" s="73">
        <f t="shared" ca="1" si="0"/>
        <v>10134.800000000003</v>
      </c>
      <c r="K38" s="74">
        <f t="shared" ca="1" si="2"/>
        <v>11.118571177812887</v>
      </c>
      <c r="L38" s="75">
        <f t="shared" ca="1" si="3"/>
        <v>88.881428822187118</v>
      </c>
      <c r="M38" s="362" t="s">
        <v>975</v>
      </c>
      <c r="N38" s="9"/>
      <c r="O38" s="9"/>
    </row>
    <row r="39" spans="1:15" ht="58.5" customHeight="1" x14ac:dyDescent="0.25">
      <c r="A39" s="386">
        <v>149106</v>
      </c>
      <c r="B39" s="311">
        <v>900110</v>
      </c>
      <c r="C39" s="382" t="s">
        <v>461</v>
      </c>
      <c r="D39" s="396" t="s">
        <v>524</v>
      </c>
      <c r="E39" s="397" t="s">
        <v>190</v>
      </c>
      <c r="F39" s="350">
        <f>JAL_Calendario!F68</f>
        <v>2649671.9999999995</v>
      </c>
      <c r="G39" s="351">
        <f t="shared" si="1"/>
        <v>220805.99999999997</v>
      </c>
      <c r="H39" s="65">
        <f ca="1">JAL_Calendario!T68</f>
        <v>1987253.9999999995</v>
      </c>
      <c r="I39" s="65">
        <f>JAL_Calendario!T69</f>
        <v>1987252.9199999995</v>
      </c>
      <c r="J39" s="73">
        <f t="shared" ca="1" si="0"/>
        <v>1.0800000000745058</v>
      </c>
      <c r="K39" s="74">
        <f t="shared" ca="1" si="2"/>
        <v>5.4346349287736041E-5</v>
      </c>
      <c r="L39" s="75">
        <f t="shared" ca="1" si="3"/>
        <v>99.999945653650713</v>
      </c>
      <c r="M39" s="362" t="s">
        <v>975</v>
      </c>
      <c r="N39" s="9"/>
      <c r="O39" s="9"/>
    </row>
    <row r="40" spans="1:15" ht="81.75" customHeight="1" x14ac:dyDescent="0.25">
      <c r="A40" s="386">
        <v>140102</v>
      </c>
      <c r="B40" s="311">
        <v>200200</v>
      </c>
      <c r="C40" s="382" t="s">
        <v>461</v>
      </c>
      <c r="D40" s="396" t="s">
        <v>525</v>
      </c>
      <c r="E40" s="397" t="s">
        <v>526</v>
      </c>
      <c r="F40" s="350">
        <f>JAL_Calendario!F70</f>
        <v>485712.3</v>
      </c>
      <c r="G40" s="351">
        <f>F40/12</f>
        <v>40476.025000000001</v>
      </c>
      <c r="H40" s="65">
        <f ca="1">JAL_Calendario!T70</f>
        <v>318672.3</v>
      </c>
      <c r="I40" s="65">
        <f>JAL_Calendario!T71</f>
        <v>222720</v>
      </c>
      <c r="J40" s="73">
        <f t="shared" ca="1" si="0"/>
        <v>95952.299999999988</v>
      </c>
      <c r="K40" s="74">
        <f t="shared" ca="1" si="2"/>
        <v>30.11002211362581</v>
      </c>
      <c r="L40" s="75">
        <f t="shared" ca="1" si="3"/>
        <v>69.889977886374183</v>
      </c>
      <c r="M40" s="362" t="s">
        <v>541</v>
      </c>
      <c r="N40" s="9"/>
      <c r="O40" s="9"/>
    </row>
    <row r="41" spans="1:15" ht="69" customHeight="1" x14ac:dyDescent="0.25">
      <c r="A41" s="386" t="s">
        <v>527</v>
      </c>
      <c r="B41" s="311" t="s">
        <v>528</v>
      </c>
      <c r="C41" s="382" t="s">
        <v>461</v>
      </c>
      <c r="D41" s="396" t="s">
        <v>529</v>
      </c>
      <c r="E41" s="397" t="s">
        <v>530</v>
      </c>
      <c r="F41" s="350">
        <f>JAL_Calendario!F72</f>
        <v>1531200</v>
      </c>
      <c r="G41" s="351">
        <f>F41/12</f>
        <v>127600</v>
      </c>
      <c r="H41" s="65">
        <f ca="1">JAL_Calendario!T72</f>
        <v>1020800</v>
      </c>
      <c r="I41" s="65">
        <f>JAL_Calendario!T73</f>
        <v>1020800</v>
      </c>
      <c r="J41" s="73">
        <f t="shared" ca="1" si="0"/>
        <v>0</v>
      </c>
      <c r="K41" s="74">
        <f t="shared" ca="1" si="2"/>
        <v>0</v>
      </c>
      <c r="L41" s="75">
        <f t="shared" ca="1" si="3"/>
        <v>100</v>
      </c>
      <c r="M41" s="362" t="s">
        <v>975</v>
      </c>
      <c r="N41" s="9"/>
      <c r="O41" s="9"/>
    </row>
    <row r="42" spans="1:15" ht="73.5" customHeight="1" x14ac:dyDescent="0.25">
      <c r="A42" s="386">
        <v>149107</v>
      </c>
      <c r="B42" s="311">
        <v>900110</v>
      </c>
      <c r="C42" s="382" t="s">
        <v>461</v>
      </c>
      <c r="D42" s="396" t="s">
        <v>531</v>
      </c>
      <c r="E42" s="397" t="s">
        <v>210</v>
      </c>
      <c r="F42" s="350">
        <f>JAL_Calendario!F74</f>
        <v>278400</v>
      </c>
      <c r="G42" s="351">
        <f t="shared" si="1"/>
        <v>23200</v>
      </c>
      <c r="H42" s="65">
        <f ca="1">JAL_Calendario!T74</f>
        <v>208800</v>
      </c>
      <c r="I42" s="65">
        <f>JAL_Calendario!T75</f>
        <v>182399.91999999998</v>
      </c>
      <c r="J42" s="73">
        <f t="shared" ca="1" si="0"/>
        <v>26400.080000000016</v>
      </c>
      <c r="K42" s="74">
        <f t="shared" ca="1" si="2"/>
        <v>12.643716475095793</v>
      </c>
      <c r="L42" s="75">
        <f t="shared" ca="1" si="3"/>
        <v>87.356283524904214</v>
      </c>
      <c r="M42" s="362" t="s">
        <v>965</v>
      </c>
      <c r="N42" s="9"/>
      <c r="O42" s="9"/>
    </row>
    <row r="43" spans="1:15" ht="72" customHeight="1" x14ac:dyDescent="0.25">
      <c r="A43" s="386">
        <v>149001</v>
      </c>
      <c r="B43" s="311">
        <v>150100</v>
      </c>
      <c r="C43" s="382" t="s">
        <v>461</v>
      </c>
      <c r="D43" s="396" t="s">
        <v>532</v>
      </c>
      <c r="E43" s="397" t="s">
        <v>204</v>
      </c>
      <c r="F43" s="350">
        <f>JAL_Calendario!F76</f>
        <v>27697971.000000004</v>
      </c>
      <c r="G43" s="351">
        <f>F43/12</f>
        <v>2308164.2500000005</v>
      </c>
      <c r="H43" s="65">
        <f ca="1">JAL_Calendario!T76</f>
        <v>20773485.000000004</v>
      </c>
      <c r="I43" s="65">
        <f>JAL_Calendario!T77</f>
        <v>20773466.640000004</v>
      </c>
      <c r="J43" s="73">
        <f t="shared" ca="1" si="0"/>
        <v>18.359999999403954</v>
      </c>
      <c r="K43" s="74">
        <f t="shared" ca="1" si="2"/>
        <v>8.838189643867628E-5</v>
      </c>
      <c r="L43" s="75">
        <f t="shared" ca="1" si="3"/>
        <v>99.999911618103567</v>
      </c>
      <c r="M43" s="362" t="s">
        <v>975</v>
      </c>
      <c r="N43" s="9"/>
      <c r="O43" s="9"/>
    </row>
    <row r="44" spans="1:15" ht="96.75" customHeight="1" thickBot="1" x14ac:dyDescent="0.3">
      <c r="A44" s="386" t="s">
        <v>533</v>
      </c>
      <c r="B44" s="311">
        <v>150100</v>
      </c>
      <c r="C44" s="382" t="s">
        <v>461</v>
      </c>
      <c r="D44" s="398" t="s">
        <v>534</v>
      </c>
      <c r="E44" s="399" t="s">
        <v>535</v>
      </c>
      <c r="F44" s="350">
        <f>JAL_Calendario!F78</f>
        <v>60482.400000000001</v>
      </c>
      <c r="G44" s="356">
        <f t="shared" si="1"/>
        <v>5040.2</v>
      </c>
      <c r="H44" s="65">
        <f ca="1">JAL_Calendario!T78</f>
        <v>0</v>
      </c>
      <c r="I44" s="65">
        <f>JAL_Calendario!T79</f>
        <v>40321.599999999999</v>
      </c>
      <c r="J44" s="81">
        <f t="shared" ca="1" si="0"/>
        <v>-40321.599999999999</v>
      </c>
      <c r="K44" s="82" t="e">
        <f t="shared" ca="1" si="2"/>
        <v>#DIV/0!</v>
      </c>
      <c r="L44" s="83" t="e">
        <f t="shared" ca="1" si="3"/>
        <v>#DIV/0!</v>
      </c>
      <c r="M44" s="362" t="s">
        <v>975</v>
      </c>
      <c r="N44" s="9"/>
      <c r="O44" s="9"/>
    </row>
    <row r="45" spans="1:15" ht="47.25" hidden="1" customHeight="1" thickBot="1" x14ac:dyDescent="0.3">
      <c r="A45" s="386" t="s">
        <v>536</v>
      </c>
      <c r="B45" s="311" t="s">
        <v>537</v>
      </c>
      <c r="C45" s="382" t="s">
        <v>461</v>
      </c>
      <c r="D45" s="400" t="s">
        <v>538</v>
      </c>
      <c r="E45" s="401" t="s">
        <v>539</v>
      </c>
      <c r="F45" s="402"/>
      <c r="G45" s="130"/>
      <c r="H45" s="285"/>
      <c r="I45" s="286"/>
      <c r="J45" s="218">
        <f t="shared" si="0"/>
        <v>0</v>
      </c>
      <c r="K45" s="403"/>
      <c r="L45" s="404"/>
      <c r="M45" s="362" t="s">
        <v>543</v>
      </c>
      <c r="N45" s="9"/>
    </row>
    <row r="46" spans="1:15" ht="15.75" thickBot="1" x14ac:dyDescent="0.3">
      <c r="A46" s="4"/>
      <c r="B46" s="4">
        <v>33</v>
      </c>
      <c r="C46" s="24">
        <f>COUNT(#REF!)</f>
        <v>0</v>
      </c>
      <c r="D46" s="7"/>
      <c r="E46" s="6"/>
      <c r="F46" s="85">
        <f>SUM(F12:F45)</f>
        <v>36492928.850000001</v>
      </c>
      <c r="G46" s="32">
        <f>SUM(G12:G45)</f>
        <v>3041077.4041666673</v>
      </c>
      <c r="H46" s="32">
        <f ca="1">SUM(H12:H45)</f>
        <v>27069662.900000002</v>
      </c>
      <c r="I46" s="405">
        <f>SUM(I12:I45)</f>
        <v>26537616.080000006</v>
      </c>
      <c r="J46" s="287">
        <f t="shared" ca="1" si="0"/>
        <v>532046.81999999657</v>
      </c>
      <c r="K46" s="150">
        <f ca="1">+J46/H46*100</f>
        <v>1.9654726472415605</v>
      </c>
      <c r="L46" s="151">
        <f ca="1">+I46/H46*100</f>
        <v>98.034527352758431</v>
      </c>
      <c r="M46" s="5"/>
    </row>
    <row r="47" spans="1:15" ht="31.5" customHeight="1" x14ac:dyDescent="0.25">
      <c r="E47" s="364"/>
      <c r="F47" s="299"/>
      <c r="G47" s="3"/>
      <c r="H47" s="2"/>
      <c r="I47" s="2"/>
      <c r="J47" s="2"/>
      <c r="K47" s="2"/>
      <c r="L47" s="2"/>
      <c r="M47" s="70"/>
    </row>
    <row r="48" spans="1:15" ht="18.75" x14ac:dyDescent="0.3">
      <c r="E48" s="406"/>
      <c r="F48" s="407"/>
      <c r="G48" s="407"/>
    </row>
    <row r="49" spans="5:7" ht="18.75" x14ac:dyDescent="0.3">
      <c r="E49" s="408"/>
      <c r="F49" s="407"/>
      <c r="G49" s="407"/>
    </row>
    <row r="50" spans="5:7" ht="18.75" x14ac:dyDescent="0.3">
      <c r="F50" s="407"/>
      <c r="G50" s="407"/>
    </row>
    <row r="51" spans="5:7" ht="18.75" x14ac:dyDescent="0.3">
      <c r="F51" s="407"/>
      <c r="G51" s="407"/>
    </row>
    <row r="52" spans="5:7" ht="18.75" x14ac:dyDescent="0.3">
      <c r="F52" s="409"/>
      <c r="G52" s="409"/>
    </row>
  </sheetData>
  <autoFilter ref="L10:L46"/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1" fitToHeight="4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W86"/>
  <sheetViews>
    <sheetView view="pageBreakPreview" zoomScale="80" zoomScaleNormal="100" zoomScaleSheetLayoutView="80" zoomScalePageLayoutView="80" workbookViewId="0">
      <pane xSplit="6" ySplit="13" topLeftCell="N79" activePane="bottomRight" state="frozen"/>
      <selection pane="topRight" activeCell="G1" sqref="G1"/>
      <selection pane="bottomLeft" activeCell="A13" sqref="A13"/>
      <selection pane="bottomRight" activeCell="P74" sqref="P74"/>
    </sheetView>
  </sheetViews>
  <sheetFormatPr baseColWidth="10" defaultRowHeight="15" x14ac:dyDescent="0.25"/>
  <cols>
    <col min="1" max="2" width="9.42578125" customWidth="1"/>
    <col min="3" max="3" width="0.140625" customWidth="1"/>
    <col min="4" max="4" width="21.5703125" customWidth="1"/>
    <col min="5" max="5" width="27.28515625" style="1" customWidth="1"/>
    <col min="6" max="8" width="21.5703125" customWidth="1"/>
    <col min="9" max="9" width="21" customWidth="1"/>
    <col min="10" max="10" width="23.85546875" customWidth="1"/>
    <col min="11" max="11" width="19.5703125" customWidth="1"/>
    <col min="12" max="12" width="20.140625" customWidth="1"/>
    <col min="13" max="13" width="19.7109375" customWidth="1"/>
    <col min="14" max="14" width="19" customWidth="1"/>
    <col min="15" max="16" width="19.28515625" customWidth="1"/>
    <col min="17" max="17" width="21.5703125" customWidth="1"/>
    <col min="18" max="18" width="20.42578125" customWidth="1"/>
    <col min="19" max="19" width="20.140625" customWidth="1"/>
    <col min="20" max="20" width="22" customWidth="1"/>
    <col min="21" max="21" width="47.140625" customWidth="1"/>
    <col min="22" max="22" width="13.85546875" customWidth="1"/>
    <col min="23" max="23" width="28" customWidth="1"/>
    <col min="24" max="16373" width="11.42578125" customWidth="1"/>
  </cols>
  <sheetData>
    <row r="2" spans="1:21" ht="21" x14ac:dyDescent="0.35">
      <c r="F2" s="10" t="s">
        <v>25</v>
      </c>
      <c r="G2" s="10"/>
      <c r="T2" s="377">
        <f>+T83</f>
        <v>26537616.080000006</v>
      </c>
      <c r="U2" s="11"/>
    </row>
    <row r="3" spans="1:21" ht="18" x14ac:dyDescent="0.25">
      <c r="F3" s="10" t="s">
        <v>24</v>
      </c>
      <c r="G3" s="10"/>
      <c r="T3" s="9"/>
    </row>
    <row r="4" spans="1:21" ht="18" x14ac:dyDescent="0.25">
      <c r="F4" s="10" t="s">
        <v>23</v>
      </c>
      <c r="G4" s="10"/>
      <c r="T4" s="9"/>
    </row>
    <row r="5" spans="1:21" ht="18" x14ac:dyDescent="0.25">
      <c r="F5" s="10" t="s">
        <v>22</v>
      </c>
      <c r="G5" s="10"/>
    </row>
    <row r="6" spans="1:21" ht="18" x14ac:dyDescent="0.25">
      <c r="F6" s="10" t="s">
        <v>21</v>
      </c>
      <c r="G6" s="10"/>
      <c r="T6" s="9"/>
    </row>
    <row r="7" spans="1:21" ht="20.25" x14ac:dyDescent="0.3">
      <c r="E7" s="15"/>
      <c r="F7" s="14" t="s">
        <v>20</v>
      </c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320"/>
      <c r="U7" s="378"/>
    </row>
    <row r="8" spans="1:21" ht="21" x14ac:dyDescent="0.35">
      <c r="D8" s="826" t="s">
        <v>61</v>
      </c>
      <c r="E8" s="826"/>
      <c r="F8" s="826"/>
      <c r="G8" s="826"/>
      <c r="H8" s="826"/>
      <c r="I8" s="826"/>
      <c r="J8" s="826"/>
      <c r="K8" s="826"/>
      <c r="L8" s="826"/>
      <c r="M8" s="826"/>
      <c r="N8" s="826"/>
      <c r="O8" s="826"/>
      <c r="P8" s="826"/>
      <c r="Q8" s="826"/>
      <c r="R8" s="826"/>
      <c r="S8" s="826"/>
      <c r="T8" s="826"/>
      <c r="U8" s="826"/>
    </row>
    <row r="9" spans="1:21" ht="18" x14ac:dyDescent="0.25">
      <c r="D9" s="39" t="s">
        <v>31</v>
      </c>
      <c r="E9" s="10" t="s">
        <v>133</v>
      </c>
      <c r="J9" s="9"/>
      <c r="S9" s="9"/>
      <c r="T9" s="9"/>
    </row>
    <row r="10" spans="1:21" ht="18.75" thickBot="1" x14ac:dyDescent="0.3">
      <c r="D10" s="39"/>
      <c r="E10" s="10"/>
      <c r="J10" s="9"/>
      <c r="S10" s="9"/>
      <c r="T10" s="9"/>
    </row>
    <row r="11" spans="1:21" ht="15.75" hidden="1" thickBot="1" x14ac:dyDescent="0.3">
      <c r="I11" t="s">
        <v>64</v>
      </c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71</v>
      </c>
      <c r="Q11" t="s">
        <v>72</v>
      </c>
      <c r="R11" t="s">
        <v>73</v>
      </c>
      <c r="S11" t="s">
        <v>74</v>
      </c>
      <c r="T11" s="9"/>
    </row>
    <row r="12" spans="1:21" ht="18" customHeight="1" x14ac:dyDescent="0.25">
      <c r="A12" s="727"/>
      <c r="B12" s="726" t="s">
        <v>18</v>
      </c>
      <c r="C12" s="844" t="s">
        <v>17</v>
      </c>
      <c r="D12" s="846" t="s">
        <v>16</v>
      </c>
      <c r="E12" s="847" t="s">
        <v>15</v>
      </c>
      <c r="F12" s="850" t="s">
        <v>26</v>
      </c>
      <c r="G12" s="379"/>
      <c r="H12" s="837" t="s">
        <v>39</v>
      </c>
      <c r="I12" s="837" t="s">
        <v>40</v>
      </c>
      <c r="J12" s="837" t="s">
        <v>41</v>
      </c>
      <c r="K12" s="837" t="s">
        <v>42</v>
      </c>
      <c r="L12" s="837" t="s">
        <v>43</v>
      </c>
      <c r="M12" s="837" t="s">
        <v>44</v>
      </c>
      <c r="N12" s="837" t="s">
        <v>45</v>
      </c>
      <c r="O12" s="837" t="s">
        <v>46</v>
      </c>
      <c r="P12" s="837" t="s">
        <v>47</v>
      </c>
      <c r="Q12" s="837" t="s">
        <v>167</v>
      </c>
      <c r="R12" s="837" t="s">
        <v>49</v>
      </c>
      <c r="S12" s="837" t="s">
        <v>50</v>
      </c>
      <c r="T12" s="952" t="s">
        <v>51</v>
      </c>
      <c r="U12" s="877" t="s">
        <v>14</v>
      </c>
    </row>
    <row r="13" spans="1:21" ht="34.5" customHeight="1" thickBot="1" x14ac:dyDescent="0.3">
      <c r="A13" s="25" t="s">
        <v>12</v>
      </c>
      <c r="B13" s="33" t="s">
        <v>13</v>
      </c>
      <c r="C13" s="845"/>
      <c r="D13" s="829"/>
      <c r="E13" s="848"/>
      <c r="F13" s="951"/>
      <c r="G13" s="380"/>
      <c r="H13" s="838"/>
      <c r="I13" s="838"/>
      <c r="J13" s="838"/>
      <c r="K13" s="838"/>
      <c r="L13" s="838"/>
      <c r="M13" s="838"/>
      <c r="N13" s="838"/>
      <c r="O13" s="838"/>
      <c r="P13" s="838"/>
      <c r="Q13" s="838"/>
      <c r="R13" s="838"/>
      <c r="S13" s="838"/>
      <c r="T13" s="953"/>
      <c r="U13" s="877"/>
    </row>
    <row r="14" spans="1:21" ht="44.25" customHeight="1" thickTop="1" thickBot="1" x14ac:dyDescent="0.3">
      <c r="A14" s="308">
        <v>200200</v>
      </c>
      <c r="B14" s="381">
        <v>142416</v>
      </c>
      <c r="C14" s="382" t="s">
        <v>461</v>
      </c>
      <c r="D14" s="958" t="s">
        <v>462</v>
      </c>
      <c r="E14" s="956" t="s">
        <v>463</v>
      </c>
      <c r="F14" s="957">
        <f>SUM(H14:S14)</f>
        <v>99033.840000000011</v>
      </c>
      <c r="G14" s="383" t="s">
        <v>52</v>
      </c>
      <c r="H14" s="245"/>
      <c r="I14" s="245">
        <f t="shared" ref="I14:S14" si="0">VLOOKUP($A14&amp;$B14&amp;I$11,Base,8,FALSE)</f>
        <v>0</v>
      </c>
      <c r="J14" s="245">
        <f t="shared" si="0"/>
        <v>16500.740000000002</v>
      </c>
      <c r="K14" s="245">
        <f t="shared" si="0"/>
        <v>8250.3700000000008</v>
      </c>
      <c r="L14" s="245">
        <f t="shared" si="0"/>
        <v>0</v>
      </c>
      <c r="M14" s="245">
        <f t="shared" si="0"/>
        <v>9007.6200000000008</v>
      </c>
      <c r="N14" s="245">
        <f t="shared" si="0"/>
        <v>8250.36</v>
      </c>
      <c r="O14" s="245">
        <f t="shared" si="0"/>
        <v>8250.3700000000008</v>
      </c>
      <c r="P14" s="245">
        <f t="shared" si="0"/>
        <v>8250.3700000000008</v>
      </c>
      <c r="Q14" s="245">
        <f t="shared" si="0"/>
        <v>15767.17</v>
      </c>
      <c r="R14" s="245">
        <f t="shared" si="0"/>
        <v>8253</v>
      </c>
      <c r="S14" s="245">
        <f t="shared" si="0"/>
        <v>16503.84</v>
      </c>
      <c r="T14" s="384">
        <f ca="1">SUM($H14:(OFFSET($H14,0,AVANCE060826!$T$2)))</f>
        <v>74277.000000000015</v>
      </c>
      <c r="U14" s="954"/>
    </row>
    <row r="15" spans="1:21" ht="44.25" customHeight="1" thickTop="1" x14ac:dyDescent="0.25">
      <c r="A15" s="308">
        <v>200200</v>
      </c>
      <c r="B15" s="381">
        <v>142416</v>
      </c>
      <c r="C15" s="382"/>
      <c r="D15" s="958"/>
      <c r="E15" s="956"/>
      <c r="F15" s="957"/>
      <c r="G15" s="383" t="s">
        <v>53</v>
      </c>
      <c r="H15" s="245"/>
      <c r="I15" s="166">
        <f t="shared" ref="I15:S15" si="1">VLOOKUP($A15&amp;$B15&amp;I$11,Base,9,FALSE)</f>
        <v>0</v>
      </c>
      <c r="J15" s="166">
        <f t="shared" si="1"/>
        <v>16500.740000000002</v>
      </c>
      <c r="K15" s="166">
        <f t="shared" si="1"/>
        <v>8250.3700000000008</v>
      </c>
      <c r="L15" s="166">
        <f t="shared" si="1"/>
        <v>0</v>
      </c>
      <c r="M15" s="166">
        <f t="shared" si="1"/>
        <v>9007.6200000000008</v>
      </c>
      <c r="N15" s="166">
        <f t="shared" si="1"/>
        <v>8250.36</v>
      </c>
      <c r="O15" s="166">
        <f t="shared" si="1"/>
        <v>8250.3700000000008</v>
      </c>
      <c r="P15" s="166">
        <f t="shared" si="1"/>
        <v>8250.3700000000008</v>
      </c>
      <c r="Q15" s="166">
        <f t="shared" si="1"/>
        <v>8250.3700000000008</v>
      </c>
      <c r="R15" s="166">
        <f t="shared" si="1"/>
        <v>0</v>
      </c>
      <c r="S15" s="166">
        <f t="shared" si="1"/>
        <v>0</v>
      </c>
      <c r="T15" s="384">
        <f t="shared" ref="T15:T77" si="2">SUM(H15:S15)</f>
        <v>66760.200000000012</v>
      </c>
      <c r="U15" s="954"/>
    </row>
    <row r="16" spans="1:21" ht="68.25" customHeight="1" x14ac:dyDescent="0.25">
      <c r="A16" s="311">
        <v>200200</v>
      </c>
      <c r="B16" s="385">
        <v>142421</v>
      </c>
      <c r="C16" s="314" t="s">
        <v>464</v>
      </c>
      <c r="D16" s="955" t="s">
        <v>465</v>
      </c>
      <c r="E16" s="956" t="s">
        <v>466</v>
      </c>
      <c r="F16" s="957">
        <f>SUM(H16:S16)</f>
        <v>34800</v>
      </c>
      <c r="G16" s="383" t="s">
        <v>52</v>
      </c>
      <c r="H16" s="245"/>
      <c r="I16" s="245">
        <f t="shared" ref="I16:S16" si="3">VLOOKUP($A16&amp;$B16&amp;I$11,Base,8,FALSE)</f>
        <v>2900</v>
      </c>
      <c r="J16" s="245">
        <f t="shared" si="3"/>
        <v>2900</v>
      </c>
      <c r="K16" s="245">
        <f t="shared" si="3"/>
        <v>0</v>
      </c>
      <c r="L16" s="245">
        <f t="shared" si="3"/>
        <v>5800</v>
      </c>
      <c r="M16" s="245">
        <f t="shared" si="3"/>
        <v>2900</v>
      </c>
      <c r="N16" s="245">
        <f t="shared" si="3"/>
        <v>2900</v>
      </c>
      <c r="O16" s="245">
        <f t="shared" si="3"/>
        <v>2900</v>
      </c>
      <c r="P16" s="245">
        <f t="shared" si="3"/>
        <v>2900</v>
      </c>
      <c r="Q16" s="245">
        <f t="shared" si="3"/>
        <v>2900</v>
      </c>
      <c r="R16" s="245">
        <f t="shared" si="3"/>
        <v>2900</v>
      </c>
      <c r="S16" s="245">
        <f t="shared" si="3"/>
        <v>5800</v>
      </c>
      <c r="T16" s="384">
        <f ca="1">SUM($H16:(OFFSET($H16,0,AVANCE060826!$T$2)))</f>
        <v>26100</v>
      </c>
      <c r="U16" s="903"/>
    </row>
    <row r="17" spans="1:21" ht="68.25" customHeight="1" x14ac:dyDescent="0.25">
      <c r="A17" s="311">
        <v>200200</v>
      </c>
      <c r="B17" s="385">
        <v>142421</v>
      </c>
      <c r="C17" s="314"/>
      <c r="D17" s="955"/>
      <c r="E17" s="956"/>
      <c r="F17" s="957"/>
      <c r="G17" s="383" t="s">
        <v>53</v>
      </c>
      <c r="H17" s="245"/>
      <c r="I17" s="166">
        <f t="shared" ref="I17:S17" si="4">VLOOKUP($A17&amp;$B17&amp;I$11,Base,9,FALSE)</f>
        <v>2900</v>
      </c>
      <c r="J17" s="166">
        <f t="shared" si="4"/>
        <v>2900</v>
      </c>
      <c r="K17" s="166">
        <f t="shared" si="4"/>
        <v>0</v>
      </c>
      <c r="L17" s="166">
        <f t="shared" si="4"/>
        <v>5800</v>
      </c>
      <c r="M17" s="166">
        <f t="shared" si="4"/>
        <v>2900</v>
      </c>
      <c r="N17" s="166">
        <f t="shared" si="4"/>
        <v>2900</v>
      </c>
      <c r="O17" s="166">
        <f t="shared" si="4"/>
        <v>2900</v>
      </c>
      <c r="P17" s="166">
        <f t="shared" si="4"/>
        <v>2900</v>
      </c>
      <c r="Q17" s="166">
        <f t="shared" si="4"/>
        <v>0</v>
      </c>
      <c r="R17" s="166">
        <f t="shared" si="4"/>
        <v>0</v>
      </c>
      <c r="S17" s="166">
        <f t="shared" si="4"/>
        <v>0</v>
      </c>
      <c r="T17" s="384">
        <f t="shared" si="2"/>
        <v>23200</v>
      </c>
      <c r="U17" s="903"/>
    </row>
    <row r="18" spans="1:21" ht="34.5" customHeight="1" x14ac:dyDescent="0.25">
      <c r="A18" s="311">
        <v>200200</v>
      </c>
      <c r="B18" s="385">
        <v>142211</v>
      </c>
      <c r="C18" s="314" t="s">
        <v>467</v>
      </c>
      <c r="D18" s="958" t="s">
        <v>468</v>
      </c>
      <c r="E18" s="959" t="s">
        <v>469</v>
      </c>
      <c r="F18" s="957">
        <f>SUM(H18:S18)</f>
        <v>76949.759999999995</v>
      </c>
      <c r="G18" s="383" t="s">
        <v>52</v>
      </c>
      <c r="H18" s="245"/>
      <c r="I18" s="245">
        <f t="shared" ref="I18:S18" si="5">VLOOKUP($A18&amp;$B18&amp;I$11,Base,8,FALSE)</f>
        <v>6412.48</v>
      </c>
      <c r="J18" s="245">
        <f t="shared" si="5"/>
        <v>6412.48</v>
      </c>
      <c r="K18" s="245">
        <f t="shared" si="5"/>
        <v>0</v>
      </c>
      <c r="L18" s="245">
        <f t="shared" si="5"/>
        <v>12824.96</v>
      </c>
      <c r="M18" s="245">
        <f t="shared" si="5"/>
        <v>6412.48</v>
      </c>
      <c r="N18" s="245">
        <f t="shared" si="5"/>
        <v>6412.48</v>
      </c>
      <c r="O18" s="245">
        <f t="shared" si="5"/>
        <v>6412.48</v>
      </c>
      <c r="P18" s="245">
        <f t="shared" si="5"/>
        <v>6412.48</v>
      </c>
      <c r="Q18" s="245">
        <f t="shared" si="5"/>
        <v>6417.16</v>
      </c>
      <c r="R18" s="245">
        <f t="shared" si="5"/>
        <v>6413</v>
      </c>
      <c r="S18" s="245">
        <f t="shared" si="5"/>
        <v>12819.76</v>
      </c>
      <c r="T18" s="384">
        <f ca="1">SUM($H18:(OFFSET($H18,0,AVANCE060826!$T$2)))</f>
        <v>57717</v>
      </c>
      <c r="U18" s="903"/>
    </row>
    <row r="19" spans="1:21" ht="34.5" customHeight="1" x14ac:dyDescent="0.25">
      <c r="A19" s="311">
        <v>200200</v>
      </c>
      <c r="B19" s="385">
        <v>142211</v>
      </c>
      <c r="C19" s="314"/>
      <c r="D19" s="958"/>
      <c r="E19" s="959"/>
      <c r="F19" s="957"/>
      <c r="G19" s="383" t="s">
        <v>53</v>
      </c>
      <c r="H19" s="245"/>
      <c r="I19" s="166">
        <f t="shared" ref="I19:S19" si="6">VLOOKUP($A19&amp;$B19&amp;I$11,Base,9,FALSE)</f>
        <v>6412.48</v>
      </c>
      <c r="J19" s="166">
        <f t="shared" si="6"/>
        <v>6412.48</v>
      </c>
      <c r="K19" s="166">
        <f t="shared" si="6"/>
        <v>0</v>
      </c>
      <c r="L19" s="166">
        <f t="shared" si="6"/>
        <v>12824.96</v>
      </c>
      <c r="M19" s="166">
        <f t="shared" si="6"/>
        <v>6412.48</v>
      </c>
      <c r="N19" s="166">
        <f t="shared" si="6"/>
        <v>6412.48</v>
      </c>
      <c r="O19" s="166">
        <f t="shared" si="6"/>
        <v>6412.48</v>
      </c>
      <c r="P19" s="166">
        <f t="shared" si="6"/>
        <v>6412.48</v>
      </c>
      <c r="Q19" s="166">
        <f t="shared" si="6"/>
        <v>0</v>
      </c>
      <c r="R19" s="166">
        <f t="shared" si="6"/>
        <v>0</v>
      </c>
      <c r="S19" s="166">
        <f t="shared" si="6"/>
        <v>0</v>
      </c>
      <c r="T19" s="384">
        <f t="shared" si="2"/>
        <v>51299.839999999997</v>
      </c>
      <c r="U19" s="903"/>
    </row>
    <row r="20" spans="1:21" ht="56.25" customHeight="1" x14ac:dyDescent="0.25">
      <c r="A20" s="311">
        <v>200200</v>
      </c>
      <c r="B20" s="385">
        <v>142212</v>
      </c>
      <c r="C20" s="314" t="s">
        <v>470</v>
      </c>
      <c r="D20" s="958" t="s">
        <v>471</v>
      </c>
      <c r="E20" s="956" t="s">
        <v>472</v>
      </c>
      <c r="F20" s="957">
        <f>SUM(H20:S20)</f>
        <v>180960</v>
      </c>
      <c r="G20" s="383" t="s">
        <v>52</v>
      </c>
      <c r="H20" s="245"/>
      <c r="I20" s="245">
        <f t="shared" ref="I20:S20" si="7">VLOOKUP($A20&amp;$B20&amp;I$11,Base,8,FALSE)</f>
        <v>15079.64</v>
      </c>
      <c r="J20" s="245">
        <f t="shared" si="7"/>
        <v>0</v>
      </c>
      <c r="K20" s="245">
        <f t="shared" si="7"/>
        <v>30159.279999999999</v>
      </c>
      <c r="L20" s="245">
        <f t="shared" si="7"/>
        <v>15079.64</v>
      </c>
      <c r="M20" s="245">
        <f t="shared" si="7"/>
        <v>15079.64</v>
      </c>
      <c r="N20" s="245">
        <f t="shared" si="7"/>
        <v>15079.64</v>
      </c>
      <c r="O20" s="245">
        <f t="shared" si="7"/>
        <v>15079.64</v>
      </c>
      <c r="P20" s="245">
        <f t="shared" si="7"/>
        <v>0</v>
      </c>
      <c r="Q20" s="245">
        <f t="shared" si="7"/>
        <v>30162.52</v>
      </c>
      <c r="R20" s="245">
        <f t="shared" si="7"/>
        <v>15080</v>
      </c>
      <c r="S20" s="245">
        <f t="shared" si="7"/>
        <v>30160</v>
      </c>
      <c r="T20" s="384">
        <f ca="1">SUM($H20:(OFFSET($H20,0,AVANCE060826!$T$2)))</f>
        <v>135720</v>
      </c>
      <c r="U20" s="903"/>
    </row>
    <row r="21" spans="1:21" ht="56.25" customHeight="1" x14ac:dyDescent="0.25">
      <c r="A21" s="311">
        <v>200200</v>
      </c>
      <c r="B21" s="385">
        <v>142212</v>
      </c>
      <c r="C21" s="314"/>
      <c r="D21" s="958"/>
      <c r="E21" s="956"/>
      <c r="F21" s="957"/>
      <c r="G21" s="383" t="s">
        <v>53</v>
      </c>
      <c r="H21" s="245"/>
      <c r="I21" s="166">
        <f t="shared" ref="I21:S21" si="8">VLOOKUP($A21&amp;$B21&amp;I$11,Base,9,FALSE)</f>
        <v>15079.64</v>
      </c>
      <c r="J21" s="166">
        <f t="shared" si="8"/>
        <v>0</v>
      </c>
      <c r="K21" s="166">
        <f t="shared" si="8"/>
        <v>30159.279999999999</v>
      </c>
      <c r="L21" s="166">
        <f t="shared" si="8"/>
        <v>15079.64</v>
      </c>
      <c r="M21" s="166">
        <f t="shared" si="8"/>
        <v>15079.64</v>
      </c>
      <c r="N21" s="166">
        <f t="shared" si="8"/>
        <v>15079.64</v>
      </c>
      <c r="O21" s="166">
        <f t="shared" si="8"/>
        <v>15079.64</v>
      </c>
      <c r="P21" s="166">
        <f t="shared" si="8"/>
        <v>0</v>
      </c>
      <c r="Q21" s="166">
        <f t="shared" si="8"/>
        <v>0</v>
      </c>
      <c r="R21" s="166">
        <f t="shared" si="8"/>
        <v>0</v>
      </c>
      <c r="S21" s="166">
        <f t="shared" si="8"/>
        <v>0</v>
      </c>
      <c r="T21" s="384">
        <f t="shared" si="2"/>
        <v>105557.48</v>
      </c>
      <c r="U21" s="903"/>
    </row>
    <row r="22" spans="1:21" ht="63.75" customHeight="1" x14ac:dyDescent="0.25">
      <c r="A22" s="311">
        <v>200200</v>
      </c>
      <c r="B22" s="385">
        <v>142443</v>
      </c>
      <c r="C22" s="314" t="s">
        <v>470</v>
      </c>
      <c r="D22" s="962" t="s">
        <v>473</v>
      </c>
      <c r="E22" s="963" t="s">
        <v>474</v>
      </c>
      <c r="F22" s="957">
        <f>SUM(H22:S22)</f>
        <v>627671.5</v>
      </c>
      <c r="G22" s="383" t="s">
        <v>52</v>
      </c>
      <c r="H22" s="245"/>
      <c r="I22" s="245">
        <f t="shared" ref="I22:S22" si="9">VLOOKUP($A22&amp;$B22&amp;I$11,Base,8,FALSE)</f>
        <v>0</v>
      </c>
      <c r="J22" s="245">
        <f t="shared" si="9"/>
        <v>0</v>
      </c>
      <c r="K22" s="245">
        <f t="shared" si="9"/>
        <v>0</v>
      </c>
      <c r="L22" s="245">
        <f t="shared" si="9"/>
        <v>0</v>
      </c>
      <c r="M22" s="245">
        <f t="shared" si="9"/>
        <v>184609.35</v>
      </c>
      <c r="N22" s="245">
        <f t="shared" si="9"/>
        <v>36921.870000000003</v>
      </c>
      <c r="O22" s="245">
        <f t="shared" si="9"/>
        <v>36921.870000000003</v>
      </c>
      <c r="P22" s="245">
        <f t="shared" si="9"/>
        <v>0</v>
      </c>
      <c r="Q22" s="245">
        <f t="shared" si="9"/>
        <v>147687.91</v>
      </c>
      <c r="R22" s="245">
        <f t="shared" si="9"/>
        <v>73843.5</v>
      </c>
      <c r="S22" s="245">
        <f t="shared" si="9"/>
        <v>147687</v>
      </c>
      <c r="T22" s="384">
        <f ca="1">SUM($H22:(OFFSET($H22,0,AVANCE060826!$T$2)))</f>
        <v>406141</v>
      </c>
      <c r="U22" s="960"/>
    </row>
    <row r="23" spans="1:21" ht="63.75" customHeight="1" x14ac:dyDescent="0.25">
      <c r="A23" s="311">
        <v>200200</v>
      </c>
      <c r="B23" s="385">
        <v>142443</v>
      </c>
      <c r="C23" s="314"/>
      <c r="D23" s="962"/>
      <c r="E23" s="963"/>
      <c r="F23" s="957"/>
      <c r="G23" s="383" t="s">
        <v>53</v>
      </c>
      <c r="H23" s="245"/>
      <c r="I23" s="166">
        <f t="shared" ref="I23:S23" si="10">VLOOKUP($A23&amp;$B23&amp;I$11,Base,9,FALSE)</f>
        <v>0</v>
      </c>
      <c r="J23" s="166">
        <f t="shared" si="10"/>
        <v>0</v>
      </c>
      <c r="K23" s="166">
        <f t="shared" si="10"/>
        <v>0</v>
      </c>
      <c r="L23" s="166">
        <f t="shared" si="10"/>
        <v>0</v>
      </c>
      <c r="M23" s="166">
        <f t="shared" si="10"/>
        <v>184609.35</v>
      </c>
      <c r="N23" s="166">
        <f t="shared" si="10"/>
        <v>36921.870000000003</v>
      </c>
      <c r="O23" s="166">
        <f t="shared" si="10"/>
        <v>36921.870000000003</v>
      </c>
      <c r="P23" s="166">
        <f t="shared" si="10"/>
        <v>0</v>
      </c>
      <c r="Q23" s="166">
        <f t="shared" si="10"/>
        <v>0</v>
      </c>
      <c r="R23" s="166">
        <f t="shared" si="10"/>
        <v>0</v>
      </c>
      <c r="S23" s="166">
        <f t="shared" si="10"/>
        <v>0</v>
      </c>
      <c r="T23" s="384">
        <f t="shared" si="2"/>
        <v>258453.09</v>
      </c>
      <c r="U23" s="961"/>
    </row>
    <row r="24" spans="1:21" ht="43.5" customHeight="1" x14ac:dyDescent="0.25">
      <c r="A24" s="311">
        <v>200200</v>
      </c>
      <c r="B24" s="385">
        <v>142423</v>
      </c>
      <c r="C24" s="314" t="s">
        <v>475</v>
      </c>
      <c r="D24" s="962" t="s">
        <v>476</v>
      </c>
      <c r="E24" s="963" t="s">
        <v>477</v>
      </c>
      <c r="F24" s="957">
        <f>SUM(H24:S24)</f>
        <v>73984.799999999988</v>
      </c>
      <c r="G24" s="383" t="s">
        <v>52</v>
      </c>
      <c r="H24" s="245"/>
      <c r="I24" s="245">
        <f t="shared" ref="I24:S24" si="11">VLOOKUP($A24&amp;$B24&amp;I$11,Base,8,FALSE)</f>
        <v>0</v>
      </c>
      <c r="J24" s="245">
        <f t="shared" si="11"/>
        <v>12328.48</v>
      </c>
      <c r="K24" s="245">
        <f t="shared" si="11"/>
        <v>6164.24</v>
      </c>
      <c r="L24" s="245">
        <f t="shared" si="11"/>
        <v>6164.24</v>
      </c>
      <c r="M24" s="245">
        <f t="shared" si="11"/>
        <v>6164.24</v>
      </c>
      <c r="N24" s="245">
        <f t="shared" si="11"/>
        <v>6164.24</v>
      </c>
      <c r="O24" s="245">
        <f t="shared" si="11"/>
        <v>6164.24</v>
      </c>
      <c r="P24" s="245">
        <f t="shared" si="11"/>
        <v>6164.24</v>
      </c>
      <c r="Q24" s="245">
        <f t="shared" si="11"/>
        <v>6180.08</v>
      </c>
      <c r="R24" s="245">
        <f t="shared" si="11"/>
        <v>6166</v>
      </c>
      <c r="S24" s="245">
        <f t="shared" si="11"/>
        <v>12324.8</v>
      </c>
      <c r="T24" s="384">
        <f ca="1">SUM($H24:(OFFSET($H24,0,AVANCE060826!$T$2)))</f>
        <v>55493.999999999993</v>
      </c>
      <c r="U24" s="903"/>
    </row>
    <row r="25" spans="1:21" ht="43.5" customHeight="1" x14ac:dyDescent="0.25">
      <c r="A25" s="311">
        <v>200200</v>
      </c>
      <c r="B25" s="385">
        <v>142423</v>
      </c>
      <c r="C25" s="314"/>
      <c r="D25" s="962"/>
      <c r="E25" s="963"/>
      <c r="F25" s="957"/>
      <c r="G25" s="383" t="s">
        <v>53</v>
      </c>
      <c r="H25" s="245"/>
      <c r="I25" s="166">
        <f t="shared" ref="I25:S25" si="12">VLOOKUP($A25&amp;$B25&amp;I$11,Base,9,FALSE)</f>
        <v>0</v>
      </c>
      <c r="J25" s="166">
        <f t="shared" si="12"/>
        <v>12328.48</v>
      </c>
      <c r="K25" s="166">
        <f t="shared" si="12"/>
        <v>6164.24</v>
      </c>
      <c r="L25" s="166">
        <f t="shared" si="12"/>
        <v>6164.24</v>
      </c>
      <c r="M25" s="166">
        <f t="shared" si="12"/>
        <v>6164.24</v>
      </c>
      <c r="N25" s="166">
        <f t="shared" si="12"/>
        <v>6164.24</v>
      </c>
      <c r="O25" s="166">
        <f t="shared" si="12"/>
        <v>6164.24</v>
      </c>
      <c r="P25" s="166">
        <f t="shared" si="12"/>
        <v>6164.24</v>
      </c>
      <c r="Q25" s="166">
        <f t="shared" si="12"/>
        <v>0</v>
      </c>
      <c r="R25" s="166">
        <f t="shared" si="12"/>
        <v>0</v>
      </c>
      <c r="S25" s="166">
        <f t="shared" si="12"/>
        <v>0</v>
      </c>
      <c r="T25" s="384">
        <f t="shared" si="2"/>
        <v>49313.919999999991</v>
      </c>
      <c r="U25" s="903"/>
    </row>
    <row r="26" spans="1:21" ht="58.5" customHeight="1" x14ac:dyDescent="0.25">
      <c r="A26" s="311">
        <v>200200</v>
      </c>
      <c r="B26" s="385">
        <v>142409</v>
      </c>
      <c r="C26" s="314" t="s">
        <v>478</v>
      </c>
      <c r="D26" s="962" t="s">
        <v>479</v>
      </c>
      <c r="E26" s="963" t="s">
        <v>480</v>
      </c>
      <c r="F26" s="957">
        <f>SUM(H26:S26)</f>
        <v>271440</v>
      </c>
      <c r="G26" s="383" t="s">
        <v>52</v>
      </c>
      <c r="H26" s="245"/>
      <c r="I26" s="245">
        <f t="shared" ref="I26:S26" si="13">VLOOKUP($A26&amp;$B26&amp;I$11,Base,8,FALSE)</f>
        <v>22620</v>
      </c>
      <c r="J26" s="245">
        <f t="shared" si="13"/>
        <v>22620</v>
      </c>
      <c r="K26" s="245">
        <f t="shared" si="13"/>
        <v>0</v>
      </c>
      <c r="L26" s="245">
        <f t="shared" si="13"/>
        <v>45240</v>
      </c>
      <c r="M26" s="245">
        <f t="shared" si="13"/>
        <v>22620</v>
      </c>
      <c r="N26" s="245">
        <f t="shared" si="13"/>
        <v>22620</v>
      </c>
      <c r="O26" s="245">
        <f t="shared" si="13"/>
        <v>22620</v>
      </c>
      <c r="P26" s="245">
        <f t="shared" si="13"/>
        <v>22620</v>
      </c>
      <c r="Q26" s="245">
        <f t="shared" si="13"/>
        <v>22620</v>
      </c>
      <c r="R26" s="245">
        <f t="shared" si="13"/>
        <v>22620</v>
      </c>
      <c r="S26" s="245">
        <f t="shared" si="13"/>
        <v>45240</v>
      </c>
      <c r="T26" s="384">
        <f ca="1">SUM($H26:(OFFSET($H26,0,AVANCE060826!$T$2)))</f>
        <v>203580</v>
      </c>
      <c r="U26" s="954"/>
    </row>
    <row r="27" spans="1:21" ht="58.5" customHeight="1" x14ac:dyDescent="0.25">
      <c r="A27" s="311">
        <v>200200</v>
      </c>
      <c r="B27" s="385">
        <v>142409</v>
      </c>
      <c r="C27" s="314"/>
      <c r="D27" s="962"/>
      <c r="E27" s="963"/>
      <c r="F27" s="957"/>
      <c r="G27" s="383" t="s">
        <v>53</v>
      </c>
      <c r="H27" s="245"/>
      <c r="I27" s="166">
        <f t="shared" ref="I27:S27" si="14">VLOOKUP($A27&amp;$B27&amp;I$11,Base,9,FALSE)</f>
        <v>22620</v>
      </c>
      <c r="J27" s="166">
        <f t="shared" si="14"/>
        <v>22620</v>
      </c>
      <c r="K27" s="166">
        <f t="shared" si="14"/>
        <v>0</v>
      </c>
      <c r="L27" s="166">
        <f t="shared" si="14"/>
        <v>45240</v>
      </c>
      <c r="M27" s="166">
        <f t="shared" si="14"/>
        <v>22620</v>
      </c>
      <c r="N27" s="166">
        <f t="shared" si="14"/>
        <v>22620</v>
      </c>
      <c r="O27" s="166">
        <f t="shared" si="14"/>
        <v>22620</v>
      </c>
      <c r="P27" s="166">
        <f t="shared" si="14"/>
        <v>22620</v>
      </c>
      <c r="Q27" s="166">
        <f t="shared" si="14"/>
        <v>0</v>
      </c>
      <c r="R27" s="166">
        <f t="shared" si="14"/>
        <v>0</v>
      </c>
      <c r="S27" s="166">
        <f t="shared" si="14"/>
        <v>0</v>
      </c>
      <c r="T27" s="384">
        <f t="shared" si="2"/>
        <v>180960</v>
      </c>
      <c r="U27" s="954"/>
    </row>
    <row r="28" spans="1:21" ht="51" customHeight="1" x14ac:dyDescent="0.25">
      <c r="A28" s="311">
        <v>200200</v>
      </c>
      <c r="B28" s="385">
        <v>142450</v>
      </c>
      <c r="C28" s="314" t="s">
        <v>470</v>
      </c>
      <c r="D28" s="962" t="s">
        <v>481</v>
      </c>
      <c r="E28" s="963" t="s">
        <v>482</v>
      </c>
      <c r="F28" s="957">
        <f>SUM(H28:S28)</f>
        <v>69600</v>
      </c>
      <c r="G28" s="383" t="s">
        <v>52</v>
      </c>
      <c r="H28" s="245"/>
      <c r="I28" s="245">
        <f t="shared" ref="I28:S28" si="15">VLOOKUP($A28&amp;$B28&amp;I$11,Base,8,FALSE)</f>
        <v>5799.99</v>
      </c>
      <c r="J28" s="245">
        <f t="shared" si="15"/>
        <v>5799.99</v>
      </c>
      <c r="K28" s="245">
        <f t="shared" si="15"/>
        <v>5799.99</v>
      </c>
      <c r="L28" s="245">
        <f t="shared" si="15"/>
        <v>5799.99</v>
      </c>
      <c r="M28" s="245">
        <f t="shared" si="15"/>
        <v>5799.99</v>
      </c>
      <c r="N28" s="245">
        <f t="shared" si="15"/>
        <v>5799.99</v>
      </c>
      <c r="O28" s="245">
        <f t="shared" si="15"/>
        <v>5799.99</v>
      </c>
      <c r="P28" s="245">
        <f t="shared" si="15"/>
        <v>5799.99</v>
      </c>
      <c r="Q28" s="245">
        <f t="shared" si="15"/>
        <v>5800.08</v>
      </c>
      <c r="R28" s="245">
        <f t="shared" si="15"/>
        <v>5800</v>
      </c>
      <c r="S28" s="245">
        <f t="shared" si="15"/>
        <v>11600</v>
      </c>
      <c r="T28" s="384">
        <f ca="1">SUM($H28:(OFFSET($H28,0,AVANCE060826!$T$2)))</f>
        <v>52199.999999999993</v>
      </c>
      <c r="U28" s="903"/>
    </row>
    <row r="29" spans="1:21" ht="51" customHeight="1" x14ac:dyDescent="0.25">
      <c r="A29" s="311">
        <v>200200</v>
      </c>
      <c r="B29" s="385">
        <v>142450</v>
      </c>
      <c r="C29" s="314"/>
      <c r="D29" s="962"/>
      <c r="E29" s="963"/>
      <c r="F29" s="957"/>
      <c r="G29" s="383" t="s">
        <v>53</v>
      </c>
      <c r="H29" s="245"/>
      <c r="I29" s="245">
        <f t="shared" ref="I29:S29" si="16">VLOOKUP($A29&amp;$B29&amp;I$11,Base,9,FALSE)</f>
        <v>5799.99</v>
      </c>
      <c r="J29" s="245">
        <f t="shared" si="16"/>
        <v>5799.99</v>
      </c>
      <c r="K29" s="245">
        <f t="shared" si="16"/>
        <v>5799.99</v>
      </c>
      <c r="L29" s="245">
        <f t="shared" si="16"/>
        <v>5799.99</v>
      </c>
      <c r="M29" s="245">
        <f t="shared" si="16"/>
        <v>5799.99</v>
      </c>
      <c r="N29" s="245">
        <f t="shared" si="16"/>
        <v>5799.99</v>
      </c>
      <c r="O29" s="245">
        <f t="shared" si="16"/>
        <v>5799.99</v>
      </c>
      <c r="P29" s="245">
        <f t="shared" si="16"/>
        <v>5799.99</v>
      </c>
      <c r="Q29" s="245">
        <f t="shared" si="16"/>
        <v>0</v>
      </c>
      <c r="R29" s="245">
        <f t="shared" si="16"/>
        <v>0</v>
      </c>
      <c r="S29" s="245">
        <f t="shared" si="16"/>
        <v>0</v>
      </c>
      <c r="T29" s="384">
        <f t="shared" si="2"/>
        <v>46399.919999999991</v>
      </c>
      <c r="U29" s="903"/>
    </row>
    <row r="30" spans="1:21" ht="45" customHeight="1" x14ac:dyDescent="0.25">
      <c r="A30" s="311">
        <v>200200</v>
      </c>
      <c r="B30" s="385">
        <v>142470</v>
      </c>
      <c r="C30" s="314" t="s">
        <v>478</v>
      </c>
      <c r="D30" s="962" t="s">
        <v>483</v>
      </c>
      <c r="E30" s="963" t="s">
        <v>484</v>
      </c>
      <c r="F30" s="957">
        <f>SUM(H30:S30)</f>
        <v>83515.13</v>
      </c>
      <c r="G30" s="383" t="s">
        <v>52</v>
      </c>
      <c r="H30" s="245"/>
      <c r="I30" s="245">
        <f t="shared" ref="I30:S30" si="17">VLOOKUP($A30&amp;$B30&amp;I$11,Base,8,FALSE)</f>
        <v>0</v>
      </c>
      <c r="J30" s="245">
        <f t="shared" si="17"/>
        <v>0</v>
      </c>
      <c r="K30" s="245">
        <f t="shared" si="17"/>
        <v>0</v>
      </c>
      <c r="L30" s="245">
        <f t="shared" si="17"/>
        <v>0</v>
      </c>
      <c r="M30" s="245">
        <f t="shared" si="17"/>
        <v>34796.85</v>
      </c>
      <c r="N30" s="245">
        <f t="shared" si="17"/>
        <v>0</v>
      </c>
      <c r="O30" s="245">
        <f t="shared" si="17"/>
        <v>0</v>
      </c>
      <c r="P30" s="245">
        <f t="shared" si="17"/>
        <v>20878.11</v>
      </c>
      <c r="Q30" s="245">
        <f t="shared" si="17"/>
        <v>6965.04</v>
      </c>
      <c r="R30" s="245">
        <f t="shared" si="17"/>
        <v>6960</v>
      </c>
      <c r="S30" s="245">
        <f t="shared" si="17"/>
        <v>13915.13</v>
      </c>
      <c r="T30" s="384">
        <f ca="1">SUM($H30:(OFFSET($H30,0,AVANCE060826!$T$2)))</f>
        <v>62640</v>
      </c>
      <c r="U30" s="903"/>
    </row>
    <row r="31" spans="1:21" ht="45" customHeight="1" x14ac:dyDescent="0.25">
      <c r="A31" s="311">
        <v>200200</v>
      </c>
      <c r="B31" s="385">
        <v>142470</v>
      </c>
      <c r="C31" s="314"/>
      <c r="D31" s="962"/>
      <c r="E31" s="963"/>
      <c r="F31" s="957"/>
      <c r="G31" s="383" t="s">
        <v>53</v>
      </c>
      <c r="H31" s="245"/>
      <c r="I31" s="245">
        <f t="shared" ref="I31:S31" si="18">VLOOKUP($A31&amp;$B31&amp;I$11,Base,9,FALSE)</f>
        <v>0</v>
      </c>
      <c r="J31" s="245">
        <f t="shared" si="18"/>
        <v>0</v>
      </c>
      <c r="K31" s="245">
        <f t="shared" si="18"/>
        <v>0</v>
      </c>
      <c r="L31" s="245">
        <f t="shared" si="18"/>
        <v>0</v>
      </c>
      <c r="M31" s="245">
        <f t="shared" si="18"/>
        <v>34796.85</v>
      </c>
      <c r="N31" s="245">
        <f t="shared" si="18"/>
        <v>0</v>
      </c>
      <c r="O31" s="245">
        <f t="shared" si="18"/>
        <v>0</v>
      </c>
      <c r="P31" s="245">
        <f t="shared" si="18"/>
        <v>20878.11</v>
      </c>
      <c r="Q31" s="245">
        <f t="shared" si="18"/>
        <v>0</v>
      </c>
      <c r="R31" s="245">
        <f t="shared" si="18"/>
        <v>0</v>
      </c>
      <c r="S31" s="245">
        <f t="shared" si="18"/>
        <v>0</v>
      </c>
      <c r="T31" s="384">
        <f t="shared" si="2"/>
        <v>55674.96</v>
      </c>
      <c r="U31" s="903"/>
    </row>
    <row r="32" spans="1:21" ht="34.5" customHeight="1" x14ac:dyDescent="0.25">
      <c r="A32" s="311">
        <v>200200</v>
      </c>
      <c r="B32" s="385">
        <v>142486</v>
      </c>
      <c r="C32" s="314" t="s">
        <v>485</v>
      </c>
      <c r="D32" s="962" t="s">
        <v>486</v>
      </c>
      <c r="E32" s="963" t="s">
        <v>487</v>
      </c>
      <c r="F32" s="957">
        <f>SUM(H32:S32)</f>
        <v>104400</v>
      </c>
      <c r="G32" s="383" t="s">
        <v>52</v>
      </c>
      <c r="H32" s="245"/>
      <c r="I32" s="245">
        <f t="shared" ref="I32:S32" si="19">VLOOKUP($A32&amp;$B32&amp;I$11,Base,8,FALSE)</f>
        <v>8700</v>
      </c>
      <c r="J32" s="245">
        <f t="shared" si="19"/>
        <v>8700</v>
      </c>
      <c r="K32" s="245">
        <f t="shared" si="19"/>
        <v>8700</v>
      </c>
      <c r="L32" s="245">
        <f t="shared" si="19"/>
        <v>8700</v>
      </c>
      <c r="M32" s="245">
        <f t="shared" si="19"/>
        <v>8700</v>
      </c>
      <c r="N32" s="245">
        <f t="shared" si="19"/>
        <v>8700</v>
      </c>
      <c r="O32" s="245">
        <f t="shared" si="19"/>
        <v>8700</v>
      </c>
      <c r="P32" s="245">
        <f t="shared" si="19"/>
        <v>8700</v>
      </c>
      <c r="Q32" s="245">
        <f t="shared" si="19"/>
        <v>8700</v>
      </c>
      <c r="R32" s="245">
        <f t="shared" si="19"/>
        <v>8700</v>
      </c>
      <c r="S32" s="245">
        <f t="shared" si="19"/>
        <v>17400</v>
      </c>
      <c r="T32" s="384">
        <f ca="1">SUM($H32:(OFFSET($H32,0,AVANCE060826!$T$2)))</f>
        <v>78300</v>
      </c>
      <c r="U32" s="903"/>
    </row>
    <row r="33" spans="1:21" ht="34.5" customHeight="1" x14ac:dyDescent="0.25">
      <c r="A33" s="311">
        <v>200200</v>
      </c>
      <c r="B33" s="385">
        <v>142486</v>
      </c>
      <c r="C33" s="314"/>
      <c r="D33" s="962"/>
      <c r="E33" s="963"/>
      <c r="F33" s="957"/>
      <c r="G33" s="383" t="s">
        <v>53</v>
      </c>
      <c r="H33" s="245"/>
      <c r="I33" s="245">
        <f t="shared" ref="I33:S33" si="20">VLOOKUP($A33&amp;$B33&amp;I$11,Base,9,FALSE)</f>
        <v>8700</v>
      </c>
      <c r="J33" s="245">
        <f t="shared" si="20"/>
        <v>8700</v>
      </c>
      <c r="K33" s="245">
        <f t="shared" si="20"/>
        <v>8700</v>
      </c>
      <c r="L33" s="245">
        <f t="shared" si="20"/>
        <v>8700</v>
      </c>
      <c r="M33" s="245">
        <f t="shared" si="20"/>
        <v>8700</v>
      </c>
      <c r="N33" s="245">
        <f t="shared" si="20"/>
        <v>8700</v>
      </c>
      <c r="O33" s="245">
        <f t="shared" si="20"/>
        <v>8700</v>
      </c>
      <c r="P33" s="245">
        <f t="shared" si="20"/>
        <v>8700</v>
      </c>
      <c r="Q33" s="245">
        <f t="shared" si="20"/>
        <v>8700</v>
      </c>
      <c r="R33" s="245">
        <f t="shared" si="20"/>
        <v>0</v>
      </c>
      <c r="S33" s="245">
        <f t="shared" si="20"/>
        <v>0</v>
      </c>
      <c r="T33" s="384">
        <f t="shared" si="2"/>
        <v>78300</v>
      </c>
      <c r="U33" s="903"/>
    </row>
    <row r="34" spans="1:21" ht="34.5" customHeight="1" x14ac:dyDescent="0.25">
      <c r="A34" s="311">
        <v>200200</v>
      </c>
      <c r="B34" s="385">
        <v>142487</v>
      </c>
      <c r="C34" s="314" t="s">
        <v>488</v>
      </c>
      <c r="D34" s="962" t="s">
        <v>489</v>
      </c>
      <c r="E34" s="963" t="s">
        <v>490</v>
      </c>
      <c r="F34" s="957">
        <f>SUM(H34:S34)</f>
        <v>43875.839999999997</v>
      </c>
      <c r="G34" s="383" t="s">
        <v>52</v>
      </c>
      <c r="H34" s="245"/>
      <c r="I34" s="245">
        <f t="shared" ref="I34:S34" si="21">VLOOKUP($A34&amp;$B34&amp;I$11,Base,8,FALSE)</f>
        <v>3656.32</v>
      </c>
      <c r="J34" s="245">
        <f t="shared" si="21"/>
        <v>3656.32</v>
      </c>
      <c r="K34" s="245">
        <f t="shared" si="21"/>
        <v>0</v>
      </c>
      <c r="L34" s="245">
        <f t="shared" si="21"/>
        <v>7312.64</v>
      </c>
      <c r="M34" s="245">
        <f t="shared" si="21"/>
        <v>3656.32</v>
      </c>
      <c r="N34" s="245">
        <f t="shared" si="21"/>
        <v>3656.32</v>
      </c>
      <c r="O34" s="245">
        <f t="shared" si="21"/>
        <v>0</v>
      </c>
      <c r="P34" s="245">
        <f t="shared" si="21"/>
        <v>0</v>
      </c>
      <c r="Q34" s="245">
        <f t="shared" si="21"/>
        <v>10975.08</v>
      </c>
      <c r="R34" s="245">
        <f t="shared" si="21"/>
        <v>3657</v>
      </c>
      <c r="S34" s="245">
        <f t="shared" si="21"/>
        <v>7305.84</v>
      </c>
      <c r="T34" s="384">
        <f ca="1">SUM($H34:(OFFSET($H34,0,AVANCE060826!$T$2)))</f>
        <v>32913</v>
      </c>
      <c r="U34" s="903"/>
    </row>
    <row r="35" spans="1:21" ht="34.5" customHeight="1" x14ac:dyDescent="0.25">
      <c r="A35" s="311">
        <v>200200</v>
      </c>
      <c r="B35" s="385">
        <v>142487</v>
      </c>
      <c r="C35" s="314"/>
      <c r="D35" s="962"/>
      <c r="E35" s="963"/>
      <c r="F35" s="957"/>
      <c r="G35" s="383" t="s">
        <v>53</v>
      </c>
      <c r="H35" s="245"/>
      <c r="I35" s="245">
        <f t="shared" ref="I35:S35" si="22">VLOOKUP($A35&amp;$B35&amp;I$11,Base,9,FALSE)</f>
        <v>3656.32</v>
      </c>
      <c r="J35" s="245">
        <f t="shared" si="22"/>
        <v>3656.32</v>
      </c>
      <c r="K35" s="245">
        <f t="shared" si="22"/>
        <v>0</v>
      </c>
      <c r="L35" s="245">
        <f t="shared" si="22"/>
        <v>7312.64</v>
      </c>
      <c r="M35" s="245">
        <f t="shared" si="22"/>
        <v>3656.32</v>
      </c>
      <c r="N35" s="245">
        <f t="shared" si="22"/>
        <v>3656.32</v>
      </c>
      <c r="O35" s="245">
        <f t="shared" si="22"/>
        <v>0</v>
      </c>
      <c r="P35" s="245">
        <f t="shared" si="22"/>
        <v>0</v>
      </c>
      <c r="Q35" s="245">
        <f t="shared" si="22"/>
        <v>0</v>
      </c>
      <c r="R35" s="245">
        <f t="shared" si="22"/>
        <v>0</v>
      </c>
      <c r="S35" s="245">
        <f t="shared" si="22"/>
        <v>0</v>
      </c>
      <c r="T35" s="384">
        <f t="shared" si="2"/>
        <v>21937.920000000002</v>
      </c>
      <c r="U35" s="903"/>
    </row>
    <row r="36" spans="1:21" ht="34.5" customHeight="1" x14ac:dyDescent="0.25">
      <c r="A36" s="311">
        <v>200200</v>
      </c>
      <c r="B36" s="385">
        <v>142419</v>
      </c>
      <c r="C36" s="314" t="s">
        <v>475</v>
      </c>
      <c r="D36" s="962" t="s">
        <v>491</v>
      </c>
      <c r="E36" s="963" t="s">
        <v>492</v>
      </c>
      <c r="F36" s="957">
        <f>SUM(H36:S36)</f>
        <v>208800</v>
      </c>
      <c r="G36" s="383" t="s">
        <v>52</v>
      </c>
      <c r="H36" s="245"/>
      <c r="I36" s="245">
        <f t="shared" ref="I36:S36" si="23">VLOOKUP($A36&amp;$B36&amp;I$11,Base,8,FALSE)</f>
        <v>17399.990000000002</v>
      </c>
      <c r="J36" s="245">
        <f t="shared" si="23"/>
        <v>0</v>
      </c>
      <c r="K36" s="245">
        <f t="shared" si="23"/>
        <v>34799.99</v>
      </c>
      <c r="L36" s="245">
        <f t="shared" si="23"/>
        <v>0</v>
      </c>
      <c r="M36" s="245">
        <f t="shared" si="23"/>
        <v>34799.99</v>
      </c>
      <c r="N36" s="245">
        <f t="shared" si="23"/>
        <v>17400</v>
      </c>
      <c r="O36" s="245">
        <f t="shared" si="23"/>
        <v>17400</v>
      </c>
      <c r="P36" s="245">
        <f t="shared" si="23"/>
        <v>17399.990000000002</v>
      </c>
      <c r="Q36" s="245">
        <f t="shared" si="23"/>
        <v>17400.04</v>
      </c>
      <c r="R36" s="245">
        <f t="shared" si="23"/>
        <v>17400</v>
      </c>
      <c r="S36" s="245">
        <f t="shared" si="23"/>
        <v>34800</v>
      </c>
      <c r="T36" s="384">
        <f ca="1">SUM($H36:(OFFSET($H36,0,AVANCE060826!$T$2)))</f>
        <v>156600</v>
      </c>
      <c r="U36" s="903"/>
    </row>
    <row r="37" spans="1:21" ht="34.5" customHeight="1" x14ac:dyDescent="0.25">
      <c r="A37" s="311">
        <v>200200</v>
      </c>
      <c r="B37" s="385">
        <v>142419</v>
      </c>
      <c r="C37" s="314"/>
      <c r="D37" s="962"/>
      <c r="E37" s="963"/>
      <c r="F37" s="957"/>
      <c r="G37" s="383" t="s">
        <v>53</v>
      </c>
      <c r="H37" s="245"/>
      <c r="I37" s="245">
        <f t="shared" ref="I37:S37" si="24">VLOOKUP($A37&amp;$B37&amp;I$11,Base,9,FALSE)</f>
        <v>17399.990000000002</v>
      </c>
      <c r="J37" s="245">
        <f t="shared" si="24"/>
        <v>0</v>
      </c>
      <c r="K37" s="245">
        <f t="shared" si="24"/>
        <v>34799.99</v>
      </c>
      <c r="L37" s="245">
        <f t="shared" si="24"/>
        <v>0</v>
      </c>
      <c r="M37" s="245">
        <f t="shared" si="24"/>
        <v>34799.99</v>
      </c>
      <c r="N37" s="245">
        <f t="shared" si="24"/>
        <v>17400</v>
      </c>
      <c r="O37" s="245">
        <f t="shared" si="24"/>
        <v>17400</v>
      </c>
      <c r="P37" s="245">
        <f t="shared" si="24"/>
        <v>17399.990000000002</v>
      </c>
      <c r="Q37" s="245">
        <f t="shared" si="24"/>
        <v>0</v>
      </c>
      <c r="R37" s="245">
        <f t="shared" si="24"/>
        <v>0</v>
      </c>
      <c r="S37" s="245">
        <f t="shared" si="24"/>
        <v>0</v>
      </c>
      <c r="T37" s="384">
        <f t="shared" si="2"/>
        <v>139199.96</v>
      </c>
      <c r="U37" s="903"/>
    </row>
    <row r="38" spans="1:21" ht="60.75" customHeight="1" x14ac:dyDescent="0.25">
      <c r="A38" s="311">
        <v>200200</v>
      </c>
      <c r="B38" s="385">
        <v>142420</v>
      </c>
      <c r="C38" s="314" t="s">
        <v>461</v>
      </c>
      <c r="D38" s="962" t="s">
        <v>493</v>
      </c>
      <c r="E38" s="963" t="s">
        <v>494</v>
      </c>
      <c r="F38" s="957">
        <f>SUM(H38:S38)</f>
        <v>858400</v>
      </c>
      <c r="G38" s="383" t="s">
        <v>52</v>
      </c>
      <c r="H38" s="245"/>
      <c r="I38" s="245">
        <f t="shared" ref="I38:S38" si="25">VLOOKUP($A38&amp;$B38&amp;I$11,Base,8,FALSE)</f>
        <v>63799.91</v>
      </c>
      <c r="J38" s="245">
        <f t="shared" si="25"/>
        <v>63799.91</v>
      </c>
      <c r="K38" s="245">
        <f t="shared" si="25"/>
        <v>63799.91</v>
      </c>
      <c r="L38" s="245">
        <f t="shared" si="25"/>
        <v>63799.91</v>
      </c>
      <c r="M38" s="245">
        <f t="shared" si="25"/>
        <v>63799.91</v>
      </c>
      <c r="N38" s="245">
        <f t="shared" si="25"/>
        <v>75399.990000000005</v>
      </c>
      <c r="O38" s="245">
        <f t="shared" si="25"/>
        <v>75399.990000000005</v>
      </c>
      <c r="P38" s="245">
        <f t="shared" si="25"/>
        <v>75399.990000000005</v>
      </c>
      <c r="Q38" s="245">
        <f t="shared" si="25"/>
        <v>87000.48</v>
      </c>
      <c r="R38" s="245">
        <f t="shared" si="25"/>
        <v>75400</v>
      </c>
      <c r="S38" s="245">
        <f t="shared" si="25"/>
        <v>150800</v>
      </c>
      <c r="T38" s="384">
        <f ca="1">SUM($H38:(OFFSET($H38,0,AVANCE060826!$T$2)))</f>
        <v>632200</v>
      </c>
      <c r="U38" s="903"/>
    </row>
    <row r="39" spans="1:21" ht="60.75" customHeight="1" x14ac:dyDescent="0.25">
      <c r="A39" s="311">
        <v>200200</v>
      </c>
      <c r="B39" s="385">
        <v>142420</v>
      </c>
      <c r="C39" s="314"/>
      <c r="D39" s="962"/>
      <c r="E39" s="963"/>
      <c r="F39" s="957"/>
      <c r="G39" s="383" t="s">
        <v>53</v>
      </c>
      <c r="H39" s="245"/>
      <c r="I39" s="245">
        <f t="shared" ref="I39:S39" si="26">VLOOKUP($A39&amp;$B39&amp;I$11,Base,9,FALSE)</f>
        <v>63799.91</v>
      </c>
      <c r="J39" s="245">
        <f t="shared" si="26"/>
        <v>63799.91</v>
      </c>
      <c r="K39" s="245">
        <f t="shared" si="26"/>
        <v>63799.91</v>
      </c>
      <c r="L39" s="245">
        <f t="shared" si="26"/>
        <v>63799.91</v>
      </c>
      <c r="M39" s="245">
        <f t="shared" si="26"/>
        <v>63799.91</v>
      </c>
      <c r="N39" s="245">
        <f t="shared" si="26"/>
        <v>75399.990000000005</v>
      </c>
      <c r="O39" s="245">
        <f t="shared" si="26"/>
        <v>75399.990000000005</v>
      </c>
      <c r="P39" s="245">
        <f t="shared" si="26"/>
        <v>75399.990000000005</v>
      </c>
      <c r="Q39" s="245">
        <f t="shared" si="26"/>
        <v>0</v>
      </c>
      <c r="R39" s="245">
        <f t="shared" si="26"/>
        <v>0</v>
      </c>
      <c r="S39" s="245">
        <f t="shared" si="26"/>
        <v>0</v>
      </c>
      <c r="T39" s="384">
        <f t="shared" si="2"/>
        <v>545199.52</v>
      </c>
      <c r="U39" s="903"/>
    </row>
    <row r="40" spans="1:21" ht="63.75" customHeight="1" x14ac:dyDescent="0.25">
      <c r="A40" s="311">
        <v>200200</v>
      </c>
      <c r="B40" s="385">
        <v>142488</v>
      </c>
      <c r="C40" s="314" t="s">
        <v>470</v>
      </c>
      <c r="D40" s="962" t="s">
        <v>495</v>
      </c>
      <c r="E40" s="964" t="s">
        <v>496</v>
      </c>
      <c r="F40" s="957">
        <f>SUM(H40:S40)</f>
        <v>58464</v>
      </c>
      <c r="G40" s="383" t="s">
        <v>52</v>
      </c>
      <c r="H40" s="245"/>
      <c r="I40" s="245">
        <f t="shared" ref="I40:S40" si="27">VLOOKUP($A40&amp;$B40&amp;I$11,Base,8,FALSE)</f>
        <v>4872</v>
      </c>
      <c r="J40" s="245">
        <f t="shared" si="27"/>
        <v>4872</v>
      </c>
      <c r="K40" s="245">
        <f t="shared" si="27"/>
        <v>0</v>
      </c>
      <c r="L40" s="245">
        <f t="shared" si="27"/>
        <v>9744</v>
      </c>
      <c r="M40" s="245">
        <f t="shared" si="27"/>
        <v>4872</v>
      </c>
      <c r="N40" s="245">
        <f t="shared" si="27"/>
        <v>4872</v>
      </c>
      <c r="O40" s="245">
        <f t="shared" si="27"/>
        <v>4872</v>
      </c>
      <c r="P40" s="245">
        <f t="shared" si="27"/>
        <v>4872</v>
      </c>
      <c r="Q40" s="245">
        <f t="shared" si="27"/>
        <v>4872</v>
      </c>
      <c r="R40" s="245">
        <f t="shared" si="27"/>
        <v>4872</v>
      </c>
      <c r="S40" s="245">
        <f t="shared" si="27"/>
        <v>9744</v>
      </c>
      <c r="T40" s="384">
        <f ca="1">SUM($H40:(OFFSET($H40,0,AVANCE060826!$T$2)))</f>
        <v>43848</v>
      </c>
      <c r="U40" s="903"/>
    </row>
    <row r="41" spans="1:21" ht="63.75" customHeight="1" x14ac:dyDescent="0.25">
      <c r="A41" s="311">
        <v>200200</v>
      </c>
      <c r="B41" s="385">
        <v>142488</v>
      </c>
      <c r="C41" s="314"/>
      <c r="D41" s="962"/>
      <c r="E41" s="964"/>
      <c r="F41" s="957"/>
      <c r="G41" s="383" t="s">
        <v>53</v>
      </c>
      <c r="H41" s="245"/>
      <c r="I41" s="245">
        <f t="shared" ref="I41:S41" si="28">VLOOKUP($A41&amp;$B41&amp;I$11,Base,9,FALSE)</f>
        <v>4872</v>
      </c>
      <c r="J41" s="245">
        <f t="shared" si="28"/>
        <v>4872</v>
      </c>
      <c r="K41" s="245">
        <f t="shared" si="28"/>
        <v>0</v>
      </c>
      <c r="L41" s="245">
        <f t="shared" si="28"/>
        <v>9744</v>
      </c>
      <c r="M41" s="245">
        <f t="shared" si="28"/>
        <v>4872</v>
      </c>
      <c r="N41" s="245">
        <f t="shared" si="28"/>
        <v>4872</v>
      </c>
      <c r="O41" s="245">
        <f t="shared" si="28"/>
        <v>4872</v>
      </c>
      <c r="P41" s="245">
        <f t="shared" si="28"/>
        <v>4872</v>
      </c>
      <c r="Q41" s="245">
        <f t="shared" si="28"/>
        <v>0</v>
      </c>
      <c r="R41" s="245">
        <f t="shared" si="28"/>
        <v>0</v>
      </c>
      <c r="S41" s="245">
        <f t="shared" si="28"/>
        <v>0</v>
      </c>
      <c r="T41" s="384">
        <f t="shared" si="2"/>
        <v>38976</v>
      </c>
      <c r="U41" s="903"/>
    </row>
    <row r="42" spans="1:21" ht="45.75" customHeight="1" x14ac:dyDescent="0.25">
      <c r="A42" s="740">
        <v>200201</v>
      </c>
      <c r="B42" s="385">
        <v>142477</v>
      </c>
      <c r="C42" s="314" t="s">
        <v>497</v>
      </c>
      <c r="D42" s="962" t="s">
        <v>498</v>
      </c>
      <c r="E42" s="963" t="s">
        <v>499</v>
      </c>
      <c r="F42" s="957">
        <f>SUM(H42:S42)</f>
        <v>38976</v>
      </c>
      <c r="G42" s="383" t="s">
        <v>52</v>
      </c>
      <c r="H42" s="245"/>
      <c r="I42" s="245">
        <f t="shared" ref="I42:S42" si="29">VLOOKUP($A42&amp;$B42&amp;I$11,Base,8,FALSE)</f>
        <v>0</v>
      </c>
      <c r="J42" s="245">
        <f t="shared" si="29"/>
        <v>0</v>
      </c>
      <c r="K42" s="245">
        <f t="shared" si="29"/>
        <v>0</v>
      </c>
      <c r="L42" s="245">
        <f t="shared" si="29"/>
        <v>9743.49</v>
      </c>
      <c r="M42" s="245">
        <f t="shared" si="29"/>
        <v>6495.66</v>
      </c>
      <c r="N42" s="245">
        <f t="shared" si="29"/>
        <v>0</v>
      </c>
      <c r="O42" s="245">
        <f t="shared" si="29"/>
        <v>0</v>
      </c>
      <c r="P42" s="245">
        <f t="shared" si="29"/>
        <v>0</v>
      </c>
      <c r="Q42" s="245">
        <f t="shared" si="29"/>
        <v>12992.85</v>
      </c>
      <c r="R42" s="245">
        <f t="shared" si="29"/>
        <v>3248</v>
      </c>
      <c r="S42" s="245">
        <f t="shared" si="29"/>
        <v>6496</v>
      </c>
      <c r="T42" s="384">
        <f ca="1">SUM($H42:(OFFSET($H42,0,AVANCE060826!$T$2)))</f>
        <v>29232</v>
      </c>
      <c r="U42" s="903"/>
    </row>
    <row r="43" spans="1:21" ht="45.75" customHeight="1" x14ac:dyDescent="0.25">
      <c r="A43" s="740">
        <v>200201</v>
      </c>
      <c r="B43" s="385">
        <v>142477</v>
      </c>
      <c r="C43" s="314"/>
      <c r="D43" s="962"/>
      <c r="E43" s="963"/>
      <c r="F43" s="957"/>
      <c r="G43" s="383" t="s">
        <v>53</v>
      </c>
      <c r="H43" s="245"/>
      <c r="I43" s="245">
        <f t="shared" ref="I43:S43" si="30">VLOOKUP($A43&amp;$B43&amp;I$11,Base,9,FALSE)</f>
        <v>0</v>
      </c>
      <c r="J43" s="245">
        <f t="shared" si="30"/>
        <v>0</v>
      </c>
      <c r="K43" s="245">
        <f t="shared" si="30"/>
        <v>0</v>
      </c>
      <c r="L43" s="245">
        <f t="shared" si="30"/>
        <v>9743.49</v>
      </c>
      <c r="M43" s="245">
        <f t="shared" si="30"/>
        <v>6495.66</v>
      </c>
      <c r="N43" s="245">
        <f t="shared" si="30"/>
        <v>0</v>
      </c>
      <c r="O43" s="245">
        <f t="shared" si="30"/>
        <v>0</v>
      </c>
      <c r="P43" s="245">
        <f t="shared" si="30"/>
        <v>0</v>
      </c>
      <c r="Q43" s="245">
        <f t="shared" si="30"/>
        <v>0</v>
      </c>
      <c r="R43" s="245">
        <f t="shared" si="30"/>
        <v>0</v>
      </c>
      <c r="S43" s="245">
        <f t="shared" si="30"/>
        <v>0</v>
      </c>
      <c r="T43" s="384">
        <f t="shared" si="2"/>
        <v>16239.15</v>
      </c>
      <c r="U43" s="903"/>
    </row>
    <row r="44" spans="1:21" ht="62.25" customHeight="1" x14ac:dyDescent="0.25">
      <c r="A44" s="311">
        <v>200200</v>
      </c>
      <c r="B44" s="386">
        <v>142445</v>
      </c>
      <c r="C44" s="314" t="s">
        <v>461</v>
      </c>
      <c r="D44" s="962" t="s">
        <v>500</v>
      </c>
      <c r="E44" s="963" t="s">
        <v>501</v>
      </c>
      <c r="F44" s="957">
        <f>SUM(H44:S44)</f>
        <v>16881.48</v>
      </c>
      <c r="G44" s="383" t="s">
        <v>52</v>
      </c>
      <c r="H44" s="245"/>
      <c r="I44" s="245">
        <f t="shared" ref="I44:S44" si="31">VLOOKUP($A44&amp;$B44&amp;I$11,Base,8,FALSE)</f>
        <v>1406.78</v>
      </c>
      <c r="J44" s="245">
        <f t="shared" si="31"/>
        <v>1406.78</v>
      </c>
      <c r="K44" s="245">
        <f t="shared" si="31"/>
        <v>0</v>
      </c>
      <c r="L44" s="245">
        <f t="shared" si="31"/>
        <v>2813.56</v>
      </c>
      <c r="M44" s="245">
        <f t="shared" si="31"/>
        <v>1406.78</v>
      </c>
      <c r="N44" s="245">
        <f t="shared" si="31"/>
        <v>1406.78</v>
      </c>
      <c r="O44" s="245">
        <f t="shared" si="31"/>
        <v>1406.78</v>
      </c>
      <c r="P44" s="245">
        <f t="shared" si="31"/>
        <v>0</v>
      </c>
      <c r="Q44" s="245">
        <f t="shared" si="31"/>
        <v>2815.54</v>
      </c>
      <c r="R44" s="245">
        <f t="shared" si="31"/>
        <v>1407</v>
      </c>
      <c r="S44" s="245">
        <f t="shared" si="31"/>
        <v>2811.48</v>
      </c>
      <c r="T44" s="384">
        <f ca="1">SUM($H44:(OFFSET($H44,0,AVANCE060826!$T$2)))</f>
        <v>12663</v>
      </c>
      <c r="U44" s="903"/>
    </row>
    <row r="45" spans="1:21" ht="62.25" customHeight="1" x14ac:dyDescent="0.25">
      <c r="A45" s="311">
        <v>200200</v>
      </c>
      <c r="B45" s="386">
        <v>142445</v>
      </c>
      <c r="C45" s="314"/>
      <c r="D45" s="962"/>
      <c r="E45" s="963"/>
      <c r="F45" s="957"/>
      <c r="G45" s="383" t="s">
        <v>53</v>
      </c>
      <c r="H45" s="245"/>
      <c r="I45" s="245">
        <f t="shared" ref="I45:S45" si="32">VLOOKUP($A45&amp;$B45&amp;I$11,Base,9,FALSE)</f>
        <v>1406.78</v>
      </c>
      <c r="J45" s="245">
        <f t="shared" si="32"/>
        <v>1406.78</v>
      </c>
      <c r="K45" s="245">
        <f t="shared" si="32"/>
        <v>0</v>
      </c>
      <c r="L45" s="245">
        <f t="shared" si="32"/>
        <v>2813.56</v>
      </c>
      <c r="M45" s="245">
        <f t="shared" si="32"/>
        <v>1406.78</v>
      </c>
      <c r="N45" s="245">
        <f t="shared" si="32"/>
        <v>1406.78</v>
      </c>
      <c r="O45" s="245">
        <f t="shared" si="32"/>
        <v>1406.78</v>
      </c>
      <c r="P45" s="245">
        <f t="shared" si="32"/>
        <v>0</v>
      </c>
      <c r="Q45" s="245">
        <f t="shared" si="32"/>
        <v>0</v>
      </c>
      <c r="R45" s="245">
        <f t="shared" si="32"/>
        <v>0</v>
      </c>
      <c r="S45" s="245">
        <f t="shared" si="32"/>
        <v>0</v>
      </c>
      <c r="T45" s="384">
        <f t="shared" si="2"/>
        <v>9847.4600000000009</v>
      </c>
      <c r="U45" s="903"/>
    </row>
    <row r="46" spans="1:21" ht="50.25" customHeight="1" x14ac:dyDescent="0.25">
      <c r="A46" s="311">
        <v>200200</v>
      </c>
      <c r="B46" s="387" t="s">
        <v>502</v>
      </c>
      <c r="C46" s="314"/>
      <c r="D46" s="962" t="s">
        <v>503</v>
      </c>
      <c r="E46" s="963" t="s">
        <v>504</v>
      </c>
      <c r="F46" s="957">
        <v>10961</v>
      </c>
      <c r="G46" s="383" t="s">
        <v>52</v>
      </c>
      <c r="H46" s="245"/>
      <c r="I46" s="245">
        <f>IF(((VLOOKUP(I$11,AVANCE060826!$Q$8:$R$19,2,FALSE))&lt;=AVANCE060826!$S$2),$H46,0)</f>
        <v>0</v>
      </c>
      <c r="J46" s="245">
        <f>IF(((VLOOKUP(J$11,AVANCE060826!$Q$8:$R$19,2,FALSE))&lt;=AVANCE060826!$S$2),$H46,0)</f>
        <v>0</v>
      </c>
      <c r="K46" s="245">
        <f>IF(((VLOOKUP(K$11,AVANCE060826!$Q$8:$R$19,2,FALSE))&lt;=AVANCE060826!$S$2),$H46,0)</f>
        <v>0</v>
      </c>
      <c r="L46" s="245">
        <f>IF(((VLOOKUP(L$11,AVANCE060826!$Q$8:$R$19,2,FALSE))&lt;=AVANCE060826!$S$2),$H46,0)</f>
        <v>0</v>
      </c>
      <c r="M46" s="245">
        <f>IF(((VLOOKUP(M$11,AVANCE060826!$Q$8:$R$19,2,FALSE))&lt;=AVANCE060826!$S$2),$H46,0)</f>
        <v>0</v>
      </c>
      <c r="N46" s="245">
        <f>IF(((VLOOKUP(N$11,AVANCE060826!$Q$8:$R$19,2,FALSE))&lt;=AVANCE060826!$S$2),$H46,0)</f>
        <v>0</v>
      </c>
      <c r="O46" s="245">
        <f>IF(((VLOOKUP(O$11,AVANCE060826!$Q$8:$R$19,2,FALSE))&lt;=AVANCE060826!$S$2),$H46,0)</f>
        <v>0</v>
      </c>
      <c r="P46" s="245">
        <f>IF(((VLOOKUP(P$11,AVANCE060826!$Q$8:$R$19,2,FALSE))&lt;=AVANCE060826!$S$2),$H46,0)</f>
        <v>0</v>
      </c>
      <c r="Q46" s="245">
        <f>IF(((VLOOKUP(Q$11,AVANCE060826!$Q$8:$R$19,2,FALSE))&lt;=AVANCE060826!$S$2),$H46,0)</f>
        <v>0</v>
      </c>
      <c r="R46" s="245">
        <f>IF(((VLOOKUP(R$11,AVANCE060826!$Q$8:$R$19,2,FALSE))&lt;=AVANCE060826!$S$2),$H46,0)</f>
        <v>0</v>
      </c>
      <c r="S46" s="245">
        <f>IF(((VLOOKUP(S$11,AVANCE060826!$Q$8:$R$19,2,FALSE))&lt;=AVANCE060826!$S$2),$H46,0)</f>
        <v>0</v>
      </c>
      <c r="T46" s="384">
        <f ca="1">SUM($H46:(OFFSET($H46,0,AVANCE060826!$T$2)))</f>
        <v>0</v>
      </c>
      <c r="U46" s="954"/>
    </row>
    <row r="47" spans="1:21" ht="50.25" customHeight="1" x14ac:dyDescent="0.25">
      <c r="A47" s="594">
        <v>200200</v>
      </c>
      <c r="B47" s="741" t="s">
        <v>502</v>
      </c>
      <c r="C47" s="314"/>
      <c r="D47" s="962"/>
      <c r="E47" s="963"/>
      <c r="F47" s="957"/>
      <c r="G47" s="383" t="s">
        <v>53</v>
      </c>
      <c r="H47" s="245"/>
      <c r="I47" s="820">
        <v>913</v>
      </c>
      <c r="J47" s="820">
        <v>913</v>
      </c>
      <c r="K47" s="820"/>
      <c r="L47" s="820">
        <v>1826</v>
      </c>
      <c r="M47" s="820">
        <v>913</v>
      </c>
      <c r="N47" s="820">
        <v>913</v>
      </c>
      <c r="O47" s="820">
        <v>913</v>
      </c>
      <c r="P47" s="820">
        <v>913</v>
      </c>
      <c r="Q47" s="820"/>
      <c r="R47" s="820"/>
      <c r="S47" s="820"/>
      <c r="T47" s="384">
        <f t="shared" si="2"/>
        <v>7304</v>
      </c>
      <c r="U47" s="954"/>
    </row>
    <row r="48" spans="1:21" ht="73.5" customHeight="1" x14ac:dyDescent="0.25">
      <c r="A48" s="311">
        <v>200200</v>
      </c>
      <c r="B48" s="386">
        <v>142446</v>
      </c>
      <c r="C48" s="314" t="s">
        <v>461</v>
      </c>
      <c r="D48" s="962" t="s">
        <v>505</v>
      </c>
      <c r="E48" s="963" t="s">
        <v>506</v>
      </c>
      <c r="F48" s="957">
        <f>SUM(H48:S48)</f>
        <v>70992</v>
      </c>
      <c r="G48" s="383" t="s">
        <v>52</v>
      </c>
      <c r="H48" s="245"/>
      <c r="I48" s="245">
        <f t="shared" ref="I48:S48" si="33">VLOOKUP($A48&amp;$B48&amp;I$11,Base,8,FALSE)</f>
        <v>0</v>
      </c>
      <c r="J48" s="245">
        <f t="shared" si="33"/>
        <v>11832</v>
      </c>
      <c r="K48" s="245">
        <f t="shared" si="33"/>
        <v>5916</v>
      </c>
      <c r="L48" s="245">
        <f t="shared" si="33"/>
        <v>0</v>
      </c>
      <c r="M48" s="245">
        <f t="shared" si="33"/>
        <v>11832</v>
      </c>
      <c r="N48" s="245">
        <f t="shared" si="33"/>
        <v>5916</v>
      </c>
      <c r="O48" s="245">
        <f t="shared" si="33"/>
        <v>5916</v>
      </c>
      <c r="P48" s="245">
        <f t="shared" si="33"/>
        <v>5916</v>
      </c>
      <c r="Q48" s="245">
        <f t="shared" si="33"/>
        <v>5916</v>
      </c>
      <c r="R48" s="245">
        <f t="shared" si="33"/>
        <v>5916</v>
      </c>
      <c r="S48" s="245">
        <f t="shared" si="33"/>
        <v>11832</v>
      </c>
      <c r="T48" s="384">
        <f ca="1">SUM($H48:(OFFSET($H48,0,AVANCE060826!$T$2)))</f>
        <v>53244</v>
      </c>
      <c r="U48" s="965"/>
    </row>
    <row r="49" spans="1:23" ht="73.5" customHeight="1" x14ac:dyDescent="0.25">
      <c r="A49" s="311">
        <v>200200</v>
      </c>
      <c r="B49" s="386">
        <v>142446</v>
      </c>
      <c r="C49" s="314"/>
      <c r="D49" s="962"/>
      <c r="E49" s="963"/>
      <c r="F49" s="957"/>
      <c r="G49" s="383" t="s">
        <v>53</v>
      </c>
      <c r="H49" s="245"/>
      <c r="I49" s="245">
        <f t="shared" ref="I49:S49" si="34">VLOOKUP($A49&amp;$B49&amp;I$11,Base,9,FALSE)</f>
        <v>0</v>
      </c>
      <c r="J49" s="245">
        <f t="shared" si="34"/>
        <v>11832</v>
      </c>
      <c r="K49" s="245">
        <f t="shared" si="34"/>
        <v>5916</v>
      </c>
      <c r="L49" s="245">
        <f t="shared" si="34"/>
        <v>0</v>
      </c>
      <c r="M49" s="245">
        <f t="shared" si="34"/>
        <v>11832</v>
      </c>
      <c r="N49" s="245">
        <f t="shared" si="34"/>
        <v>5916</v>
      </c>
      <c r="O49" s="245">
        <f t="shared" si="34"/>
        <v>5916</v>
      </c>
      <c r="P49" s="245">
        <f t="shared" si="34"/>
        <v>5916</v>
      </c>
      <c r="Q49" s="245">
        <f t="shared" si="34"/>
        <v>0</v>
      </c>
      <c r="R49" s="245">
        <f t="shared" si="34"/>
        <v>0</v>
      </c>
      <c r="S49" s="245">
        <f t="shared" si="34"/>
        <v>0</v>
      </c>
      <c r="T49" s="384">
        <f t="shared" si="2"/>
        <v>47328</v>
      </c>
      <c r="U49" s="965"/>
    </row>
    <row r="50" spans="1:23" ht="58.5" customHeight="1" x14ac:dyDescent="0.25">
      <c r="A50" s="311">
        <v>200200</v>
      </c>
      <c r="B50" s="386">
        <v>142474</v>
      </c>
      <c r="C50" s="314" t="s">
        <v>461</v>
      </c>
      <c r="D50" s="962" t="s">
        <v>507</v>
      </c>
      <c r="E50" s="963" t="s">
        <v>508</v>
      </c>
      <c r="F50" s="957">
        <f>SUM(H50:S50)</f>
        <v>73303.3</v>
      </c>
      <c r="G50" s="383" t="s">
        <v>52</v>
      </c>
      <c r="H50" s="245"/>
      <c r="I50" s="245">
        <f t="shared" ref="I50:S50" si="35">VLOOKUP($A50&amp;$B50&amp;I$11,Base,8,FALSE)</f>
        <v>4669</v>
      </c>
      <c r="J50" s="245">
        <f t="shared" si="35"/>
        <v>4669</v>
      </c>
      <c r="K50" s="245">
        <f t="shared" si="35"/>
        <v>4669</v>
      </c>
      <c r="L50" s="245">
        <f t="shared" si="35"/>
        <v>4669</v>
      </c>
      <c r="M50" s="245">
        <f t="shared" si="35"/>
        <v>4669</v>
      </c>
      <c r="N50" s="245">
        <f t="shared" si="35"/>
        <v>4669</v>
      </c>
      <c r="O50" s="245">
        <f t="shared" si="35"/>
        <v>4669</v>
      </c>
      <c r="P50" s="245">
        <f t="shared" si="35"/>
        <v>4669</v>
      </c>
      <c r="Q50" s="245">
        <f t="shared" si="35"/>
        <v>20543.599999999999</v>
      </c>
      <c r="R50" s="245">
        <f t="shared" si="35"/>
        <v>5135.8999999999996</v>
      </c>
      <c r="S50" s="245">
        <f t="shared" si="35"/>
        <v>10271.799999999999</v>
      </c>
      <c r="T50" s="384">
        <f ca="1">SUM($H50:(OFFSET($H50,0,AVANCE060826!$T$2)))</f>
        <v>57895.6</v>
      </c>
      <c r="U50" s="903"/>
    </row>
    <row r="51" spans="1:23" ht="58.5" customHeight="1" x14ac:dyDescent="0.25">
      <c r="A51" s="311">
        <v>200200</v>
      </c>
      <c r="B51" s="386">
        <v>142474</v>
      </c>
      <c r="C51" s="382"/>
      <c r="D51" s="962"/>
      <c r="E51" s="963"/>
      <c r="F51" s="957"/>
      <c r="G51" s="383" t="s">
        <v>53</v>
      </c>
      <c r="H51" s="245"/>
      <c r="I51" s="245">
        <f t="shared" ref="I51:S51" si="36">VLOOKUP($A51&amp;$B51&amp;I$11,Base,9,FALSE)</f>
        <v>4669</v>
      </c>
      <c r="J51" s="245">
        <f t="shared" si="36"/>
        <v>4669</v>
      </c>
      <c r="K51" s="245">
        <f t="shared" si="36"/>
        <v>4669</v>
      </c>
      <c r="L51" s="245">
        <f t="shared" si="36"/>
        <v>4669</v>
      </c>
      <c r="M51" s="245">
        <f t="shared" si="36"/>
        <v>4669</v>
      </c>
      <c r="N51" s="245">
        <f t="shared" si="36"/>
        <v>4669</v>
      </c>
      <c r="O51" s="245">
        <f t="shared" si="36"/>
        <v>4669</v>
      </c>
      <c r="P51" s="245">
        <f t="shared" si="36"/>
        <v>4669</v>
      </c>
      <c r="Q51" s="245">
        <f t="shared" si="36"/>
        <v>0</v>
      </c>
      <c r="R51" s="245">
        <f t="shared" si="36"/>
        <v>0</v>
      </c>
      <c r="S51" s="245">
        <f t="shared" si="36"/>
        <v>0</v>
      </c>
      <c r="T51" s="384">
        <f t="shared" si="2"/>
        <v>37352</v>
      </c>
      <c r="U51" s="903"/>
    </row>
    <row r="52" spans="1:23" ht="49.5" customHeight="1" x14ac:dyDescent="0.25">
      <c r="A52" s="311">
        <v>200201</v>
      </c>
      <c r="B52" s="386">
        <v>142455</v>
      </c>
      <c r="C52" s="382" t="s">
        <v>461</v>
      </c>
      <c r="D52" s="962" t="s">
        <v>509</v>
      </c>
      <c r="E52" s="963" t="s">
        <v>510</v>
      </c>
      <c r="F52" s="957">
        <f>SUM(H52:S52)</f>
        <v>31278.239999999998</v>
      </c>
      <c r="G52" s="383" t="s">
        <v>52</v>
      </c>
      <c r="H52" s="245"/>
      <c r="I52" s="245">
        <f t="shared" ref="I52:S52" si="37">VLOOKUP($A52&amp;$B52&amp;I$11,Base,8,FALSE)</f>
        <v>2606.52</v>
      </c>
      <c r="J52" s="245">
        <f t="shared" si="37"/>
        <v>2606.52</v>
      </c>
      <c r="K52" s="245">
        <f t="shared" si="37"/>
        <v>0</v>
      </c>
      <c r="L52" s="245">
        <f t="shared" si="37"/>
        <v>5213.04</v>
      </c>
      <c r="M52" s="245">
        <f t="shared" si="37"/>
        <v>2606.52</v>
      </c>
      <c r="N52" s="245">
        <f t="shared" si="37"/>
        <v>2606.52</v>
      </c>
      <c r="O52" s="245">
        <f t="shared" si="37"/>
        <v>2606.52</v>
      </c>
      <c r="P52" s="245">
        <f t="shared" si="37"/>
        <v>2606.52</v>
      </c>
      <c r="Q52" s="245">
        <f t="shared" si="37"/>
        <v>2610.84</v>
      </c>
      <c r="R52" s="245">
        <f t="shared" si="37"/>
        <v>2607</v>
      </c>
      <c r="S52" s="245">
        <f t="shared" si="37"/>
        <v>5208.24</v>
      </c>
      <c r="T52" s="384">
        <f ca="1">SUM($H52:(OFFSET($H52,0,AVANCE060826!$T$2)))</f>
        <v>23463</v>
      </c>
      <c r="U52" s="954"/>
    </row>
    <row r="53" spans="1:23" ht="49.5" customHeight="1" x14ac:dyDescent="0.25">
      <c r="A53" s="311">
        <v>200201</v>
      </c>
      <c r="B53" s="386">
        <v>142455</v>
      </c>
      <c r="C53" s="382"/>
      <c r="D53" s="962"/>
      <c r="E53" s="963"/>
      <c r="F53" s="957"/>
      <c r="G53" s="383" t="s">
        <v>53</v>
      </c>
      <c r="H53" s="245"/>
      <c r="I53" s="245">
        <f t="shared" ref="I53:S53" si="38">VLOOKUP($A53&amp;$B53&amp;I$11,Base,9,FALSE)</f>
        <v>2606.52</v>
      </c>
      <c r="J53" s="245">
        <f t="shared" si="38"/>
        <v>2606.52</v>
      </c>
      <c r="K53" s="245">
        <f t="shared" si="38"/>
        <v>0</v>
      </c>
      <c r="L53" s="245">
        <f t="shared" si="38"/>
        <v>5213.04</v>
      </c>
      <c r="M53" s="245">
        <f t="shared" si="38"/>
        <v>2606.52</v>
      </c>
      <c r="N53" s="245">
        <f t="shared" si="38"/>
        <v>2606.52</v>
      </c>
      <c r="O53" s="245">
        <f t="shared" si="38"/>
        <v>2606.52</v>
      </c>
      <c r="P53" s="245">
        <f t="shared" si="38"/>
        <v>2606.52</v>
      </c>
      <c r="Q53" s="245">
        <f t="shared" si="38"/>
        <v>0</v>
      </c>
      <c r="R53" s="245">
        <f t="shared" si="38"/>
        <v>0</v>
      </c>
      <c r="S53" s="245">
        <f t="shared" si="38"/>
        <v>0</v>
      </c>
      <c r="T53" s="384">
        <f>SUM(H53:S53)</f>
        <v>20852.16</v>
      </c>
      <c r="U53" s="954"/>
    </row>
    <row r="54" spans="1:23" ht="65.25" customHeight="1" x14ac:dyDescent="0.25">
      <c r="A54" s="311">
        <v>200200</v>
      </c>
      <c r="B54" s="386">
        <v>142418</v>
      </c>
      <c r="C54" s="382" t="s">
        <v>461</v>
      </c>
      <c r="D54" s="962" t="s">
        <v>511</v>
      </c>
      <c r="E54" s="963" t="s">
        <v>512</v>
      </c>
      <c r="F54" s="957">
        <f>SUM(H54:S54)</f>
        <v>41760</v>
      </c>
      <c r="G54" s="383" t="s">
        <v>52</v>
      </c>
      <c r="H54" s="245"/>
      <c r="I54" s="245">
        <f t="shared" ref="I54:S54" si="39">VLOOKUP($A54&amp;$B54&amp;I$11,Base,8,FALSE)</f>
        <v>3480</v>
      </c>
      <c r="J54" s="245">
        <f t="shared" si="39"/>
        <v>3480</v>
      </c>
      <c r="K54" s="245">
        <f t="shared" si="39"/>
        <v>3480</v>
      </c>
      <c r="L54" s="245">
        <f t="shared" si="39"/>
        <v>3480</v>
      </c>
      <c r="M54" s="245">
        <f t="shared" si="39"/>
        <v>3480</v>
      </c>
      <c r="N54" s="245">
        <f t="shared" si="39"/>
        <v>3480</v>
      </c>
      <c r="O54" s="245">
        <f t="shared" si="39"/>
        <v>3480</v>
      </c>
      <c r="P54" s="245">
        <f t="shared" si="39"/>
        <v>0</v>
      </c>
      <c r="Q54" s="245">
        <f t="shared" si="39"/>
        <v>6960</v>
      </c>
      <c r="R54" s="245">
        <f t="shared" si="39"/>
        <v>3480</v>
      </c>
      <c r="S54" s="245">
        <f t="shared" si="39"/>
        <v>6960</v>
      </c>
      <c r="T54" s="384">
        <f ca="1">SUM($H54:(OFFSET($H54,0,AVANCE060826!$T$2)))</f>
        <v>31320</v>
      </c>
      <c r="U54" s="954"/>
    </row>
    <row r="55" spans="1:23" ht="65.25" customHeight="1" x14ac:dyDescent="0.25">
      <c r="A55" s="311">
        <v>200200</v>
      </c>
      <c r="B55" s="386">
        <v>142418</v>
      </c>
      <c r="C55" s="315"/>
      <c r="D55" s="962"/>
      <c r="E55" s="963"/>
      <c r="F55" s="957"/>
      <c r="G55" s="383" t="s">
        <v>53</v>
      </c>
      <c r="H55" s="245"/>
      <c r="I55" s="245">
        <f t="shared" ref="I55:S55" si="40">VLOOKUP($A55&amp;$B55&amp;I$11,Base,9,FALSE)</f>
        <v>3480</v>
      </c>
      <c r="J55" s="245">
        <f t="shared" si="40"/>
        <v>3480</v>
      </c>
      <c r="K55" s="245">
        <f t="shared" si="40"/>
        <v>3480</v>
      </c>
      <c r="L55" s="245">
        <f t="shared" si="40"/>
        <v>3480</v>
      </c>
      <c r="M55" s="245">
        <f t="shared" si="40"/>
        <v>3480</v>
      </c>
      <c r="N55" s="245">
        <f t="shared" si="40"/>
        <v>3480</v>
      </c>
      <c r="O55" s="245">
        <f t="shared" si="40"/>
        <v>3480</v>
      </c>
      <c r="P55" s="245">
        <f t="shared" si="40"/>
        <v>0</v>
      </c>
      <c r="Q55" s="245">
        <f t="shared" si="40"/>
        <v>0</v>
      </c>
      <c r="R55" s="245">
        <f t="shared" si="40"/>
        <v>0</v>
      </c>
      <c r="S55" s="245">
        <f t="shared" si="40"/>
        <v>0</v>
      </c>
      <c r="T55" s="384">
        <f t="shared" si="2"/>
        <v>24360</v>
      </c>
      <c r="U55" s="954"/>
    </row>
    <row r="56" spans="1:23" ht="81" customHeight="1" x14ac:dyDescent="0.25">
      <c r="A56" s="311">
        <v>200200</v>
      </c>
      <c r="B56" s="386">
        <v>142448</v>
      </c>
      <c r="C56" s="388"/>
      <c r="D56" s="958" t="s">
        <v>513</v>
      </c>
      <c r="E56" s="963" t="s">
        <v>514</v>
      </c>
      <c r="F56" s="957">
        <f>SUM(H56:S56)</f>
        <v>13368</v>
      </c>
      <c r="G56" s="383" t="s">
        <v>52</v>
      </c>
      <c r="H56" s="245"/>
      <c r="I56" s="245">
        <f t="shared" ref="I56:S56" si="41">VLOOKUP($A56&amp;$B56&amp;I$11,Base,8,FALSE)</f>
        <v>1113.95</v>
      </c>
      <c r="J56" s="245">
        <f t="shared" si="41"/>
        <v>1113.95</v>
      </c>
      <c r="K56" s="245">
        <f t="shared" si="41"/>
        <v>0</v>
      </c>
      <c r="L56" s="245">
        <f t="shared" si="41"/>
        <v>2227.9</v>
      </c>
      <c r="M56" s="245">
        <f t="shared" si="41"/>
        <v>1113.95</v>
      </c>
      <c r="N56" s="245">
        <f t="shared" si="41"/>
        <v>1113.95</v>
      </c>
      <c r="O56" s="245">
        <f t="shared" si="41"/>
        <v>1113.95</v>
      </c>
      <c r="P56" s="245">
        <f t="shared" si="41"/>
        <v>1113.95</v>
      </c>
      <c r="Q56" s="245">
        <f t="shared" si="41"/>
        <v>1114.4000000000001</v>
      </c>
      <c r="R56" s="245">
        <f t="shared" si="41"/>
        <v>1114</v>
      </c>
      <c r="S56" s="245">
        <f t="shared" si="41"/>
        <v>2228</v>
      </c>
      <c r="T56" s="384">
        <f ca="1">SUM($H56:(OFFSET($H56,0,AVANCE060826!$T$2)))</f>
        <v>10026</v>
      </c>
      <c r="U56" s="903"/>
    </row>
    <row r="57" spans="1:23" ht="81" customHeight="1" x14ac:dyDescent="0.25">
      <c r="A57" s="311">
        <v>200200</v>
      </c>
      <c r="B57" s="386">
        <v>142448</v>
      </c>
      <c r="C57" s="389"/>
      <c r="D57" s="958"/>
      <c r="E57" s="963"/>
      <c r="F57" s="957"/>
      <c r="G57" s="383" t="s">
        <v>53</v>
      </c>
      <c r="H57" s="245"/>
      <c r="I57" s="245">
        <f t="shared" ref="I57:S57" si="42">VLOOKUP($A57&amp;$B57&amp;I$11,Base,9,FALSE)</f>
        <v>1113.95</v>
      </c>
      <c r="J57" s="245">
        <f t="shared" si="42"/>
        <v>1113.95</v>
      </c>
      <c r="K57" s="245">
        <f t="shared" si="42"/>
        <v>0</v>
      </c>
      <c r="L57" s="245">
        <f t="shared" si="42"/>
        <v>2227.9</v>
      </c>
      <c r="M57" s="245">
        <f t="shared" si="42"/>
        <v>1113.95</v>
      </c>
      <c r="N57" s="245">
        <f t="shared" si="42"/>
        <v>1113.95</v>
      </c>
      <c r="O57" s="245">
        <f t="shared" si="42"/>
        <v>1113.95</v>
      </c>
      <c r="P57" s="245">
        <f t="shared" si="42"/>
        <v>1113.95</v>
      </c>
      <c r="Q57" s="245">
        <f t="shared" si="42"/>
        <v>0</v>
      </c>
      <c r="R57" s="245">
        <f t="shared" si="42"/>
        <v>0</v>
      </c>
      <c r="S57" s="245">
        <f t="shared" si="42"/>
        <v>0</v>
      </c>
      <c r="T57" s="384">
        <f t="shared" si="2"/>
        <v>8911.6</v>
      </c>
      <c r="U57" s="903"/>
    </row>
    <row r="58" spans="1:23" ht="46.5" customHeight="1" x14ac:dyDescent="0.25">
      <c r="A58" s="311">
        <v>200200</v>
      </c>
      <c r="B58" s="386">
        <v>142491</v>
      </c>
      <c r="C58" s="382" t="s">
        <v>461</v>
      </c>
      <c r="D58" s="962" t="s">
        <v>515</v>
      </c>
      <c r="E58" s="963" t="s">
        <v>516</v>
      </c>
      <c r="F58" s="957">
        <f>SUM(H58:S58)</f>
        <v>59243.999999999993</v>
      </c>
      <c r="G58" s="383" t="s">
        <v>52</v>
      </c>
      <c r="H58" s="245"/>
      <c r="I58" s="245">
        <f t="shared" ref="I58:S58" si="43">VLOOKUP($A58&amp;$B58&amp;I$11,Base,8,FALSE)</f>
        <v>0</v>
      </c>
      <c r="J58" s="245">
        <f t="shared" si="43"/>
        <v>9873.68</v>
      </c>
      <c r="K58" s="245">
        <f t="shared" si="43"/>
        <v>4936.84</v>
      </c>
      <c r="L58" s="245">
        <f t="shared" si="43"/>
        <v>0</v>
      </c>
      <c r="M58" s="245">
        <f t="shared" si="43"/>
        <v>9873.7999999999993</v>
      </c>
      <c r="N58" s="245">
        <f t="shared" si="43"/>
        <v>4936.96</v>
      </c>
      <c r="O58" s="245">
        <f t="shared" si="43"/>
        <v>4936.84</v>
      </c>
      <c r="P58" s="245">
        <f t="shared" si="43"/>
        <v>4936.84</v>
      </c>
      <c r="Q58" s="245">
        <f t="shared" si="43"/>
        <v>4938.04</v>
      </c>
      <c r="R58" s="245">
        <f t="shared" si="43"/>
        <v>4937</v>
      </c>
      <c r="S58" s="245">
        <f t="shared" si="43"/>
        <v>9874</v>
      </c>
      <c r="T58" s="384">
        <f ca="1">SUM($H58:(OFFSET($H58,0,AVANCE060826!$T$2)))</f>
        <v>44432.999999999993</v>
      </c>
      <c r="U58" s="903"/>
    </row>
    <row r="59" spans="1:23" ht="46.5" customHeight="1" x14ac:dyDescent="0.25">
      <c r="A59" s="311">
        <v>200200</v>
      </c>
      <c r="B59" s="386">
        <v>142491</v>
      </c>
      <c r="C59" s="382"/>
      <c r="D59" s="962"/>
      <c r="E59" s="963"/>
      <c r="F59" s="957"/>
      <c r="G59" s="383" t="s">
        <v>53</v>
      </c>
      <c r="H59" s="245"/>
      <c r="I59" s="245">
        <f t="shared" ref="I59:S59" si="44">VLOOKUP($A59&amp;$B59&amp;I$11,Base,9,FALSE)</f>
        <v>0</v>
      </c>
      <c r="J59" s="245">
        <f t="shared" si="44"/>
        <v>9873.68</v>
      </c>
      <c r="K59" s="245">
        <f t="shared" si="44"/>
        <v>4936.84</v>
      </c>
      <c r="L59" s="245">
        <f t="shared" si="44"/>
        <v>0</v>
      </c>
      <c r="M59" s="245">
        <f t="shared" si="44"/>
        <v>9873.7999999999993</v>
      </c>
      <c r="N59" s="245">
        <f t="shared" si="44"/>
        <v>4936.96</v>
      </c>
      <c r="O59" s="245">
        <f t="shared" si="44"/>
        <v>4936.84</v>
      </c>
      <c r="P59" s="245">
        <f t="shared" si="44"/>
        <v>4936.84</v>
      </c>
      <c r="Q59" s="245">
        <f t="shared" si="44"/>
        <v>0</v>
      </c>
      <c r="R59" s="245">
        <f t="shared" si="44"/>
        <v>0</v>
      </c>
      <c r="S59" s="245">
        <f t="shared" si="44"/>
        <v>0</v>
      </c>
      <c r="T59" s="384">
        <f t="shared" si="2"/>
        <v>39494.959999999992</v>
      </c>
      <c r="U59" s="903"/>
    </row>
    <row r="60" spans="1:23" ht="49.5" customHeight="1" x14ac:dyDescent="0.25">
      <c r="A60" s="311">
        <v>200200</v>
      </c>
      <c r="B60" s="386">
        <v>142490</v>
      </c>
      <c r="C60" s="314" t="s">
        <v>461</v>
      </c>
      <c r="D60" s="962" t="s">
        <v>517</v>
      </c>
      <c r="E60" s="963" t="s">
        <v>518</v>
      </c>
      <c r="F60" s="957">
        <f>SUM(H60:S60)</f>
        <v>116928</v>
      </c>
      <c r="G60" s="383" t="s">
        <v>52</v>
      </c>
      <c r="H60" s="245"/>
      <c r="I60" s="245">
        <f t="shared" ref="I60:S60" si="45">VLOOKUP($A60&amp;$B60&amp;I$11,Base,8,FALSE)</f>
        <v>9744</v>
      </c>
      <c r="J60" s="245">
        <f t="shared" si="45"/>
        <v>0</v>
      </c>
      <c r="K60" s="245">
        <f t="shared" si="45"/>
        <v>19488</v>
      </c>
      <c r="L60" s="245">
        <f t="shared" si="45"/>
        <v>9744</v>
      </c>
      <c r="M60" s="245">
        <f t="shared" si="45"/>
        <v>9744</v>
      </c>
      <c r="N60" s="245">
        <f t="shared" si="45"/>
        <v>9744</v>
      </c>
      <c r="O60" s="245">
        <f t="shared" si="45"/>
        <v>9744</v>
      </c>
      <c r="P60" s="245">
        <f t="shared" si="45"/>
        <v>9744</v>
      </c>
      <c r="Q60" s="245">
        <f t="shared" si="45"/>
        <v>9744</v>
      </c>
      <c r="R60" s="245">
        <f t="shared" si="45"/>
        <v>9744</v>
      </c>
      <c r="S60" s="245">
        <f t="shared" si="45"/>
        <v>19488</v>
      </c>
      <c r="T60" s="384">
        <f ca="1">SUM($H60:(OFFSET($H60,0,AVANCE060826!$T$2)))</f>
        <v>87696</v>
      </c>
      <c r="U60" s="954"/>
    </row>
    <row r="61" spans="1:23" ht="49.5" customHeight="1" x14ac:dyDescent="0.25">
      <c r="A61" s="311">
        <v>200200</v>
      </c>
      <c r="B61" s="386">
        <v>142490</v>
      </c>
      <c r="C61" s="314"/>
      <c r="D61" s="962"/>
      <c r="E61" s="963"/>
      <c r="F61" s="957"/>
      <c r="G61" s="383" t="s">
        <v>53</v>
      </c>
      <c r="H61" s="245"/>
      <c r="I61" s="245">
        <f t="shared" ref="I61:S61" si="46">VLOOKUP($A61&amp;$B61&amp;I$11,Base,9,FALSE)</f>
        <v>9744</v>
      </c>
      <c r="J61" s="245">
        <f t="shared" si="46"/>
        <v>0</v>
      </c>
      <c r="K61" s="245">
        <f t="shared" si="46"/>
        <v>19488</v>
      </c>
      <c r="L61" s="245">
        <f t="shared" si="46"/>
        <v>9744</v>
      </c>
      <c r="M61" s="245">
        <f t="shared" si="46"/>
        <v>9744</v>
      </c>
      <c r="N61" s="245">
        <f t="shared" si="46"/>
        <v>9744</v>
      </c>
      <c r="O61" s="245">
        <f t="shared" si="46"/>
        <v>9744</v>
      </c>
      <c r="P61" s="245">
        <f t="shared" si="46"/>
        <v>9744</v>
      </c>
      <c r="Q61" s="245">
        <f t="shared" si="46"/>
        <v>0</v>
      </c>
      <c r="R61" s="245">
        <f t="shared" si="46"/>
        <v>0</v>
      </c>
      <c r="S61" s="245">
        <f t="shared" si="46"/>
        <v>0</v>
      </c>
      <c r="T61" s="384">
        <f t="shared" si="2"/>
        <v>77952</v>
      </c>
      <c r="U61" s="954"/>
    </row>
    <row r="62" spans="1:23" ht="48.75" customHeight="1" x14ac:dyDescent="0.25">
      <c r="A62" s="740">
        <v>200201</v>
      </c>
      <c r="B62" s="386">
        <v>140501</v>
      </c>
      <c r="C62" s="314" t="s">
        <v>461</v>
      </c>
      <c r="D62" s="962" t="s">
        <v>519</v>
      </c>
      <c r="E62" s="963" t="s">
        <v>520</v>
      </c>
      <c r="F62" s="957">
        <f>SUM(H62:S62)</f>
        <v>126136.07999999999</v>
      </c>
      <c r="G62" s="383" t="s">
        <v>52</v>
      </c>
      <c r="H62" s="245"/>
      <c r="I62" s="245">
        <f t="shared" ref="I62:S62" si="47">VLOOKUP($A62&amp;$B62&amp;I$11,Base,8,FALSE)</f>
        <v>10511.34</v>
      </c>
      <c r="J62" s="245">
        <f t="shared" si="47"/>
        <v>10511.34</v>
      </c>
      <c r="K62" s="245">
        <f t="shared" si="47"/>
        <v>10511.34</v>
      </c>
      <c r="L62" s="245">
        <f t="shared" si="47"/>
        <v>10511.34</v>
      </c>
      <c r="M62" s="245">
        <f t="shared" si="47"/>
        <v>10511.34</v>
      </c>
      <c r="N62" s="245">
        <f t="shared" si="47"/>
        <v>10511.34</v>
      </c>
      <c r="O62" s="245">
        <f t="shared" si="47"/>
        <v>10511.34</v>
      </c>
      <c r="P62" s="245">
        <f t="shared" si="47"/>
        <v>10511.34</v>
      </c>
      <c r="Q62" s="245">
        <f t="shared" si="47"/>
        <v>10517.28</v>
      </c>
      <c r="R62" s="245">
        <f t="shared" si="47"/>
        <v>10512</v>
      </c>
      <c r="S62" s="245">
        <f t="shared" si="47"/>
        <v>21016.080000000002</v>
      </c>
      <c r="T62" s="384">
        <f ca="1">SUM($H62:(OFFSET($H62,0,AVANCE060826!$T$2)))</f>
        <v>94607.999999999985</v>
      </c>
      <c r="U62" s="903"/>
    </row>
    <row r="63" spans="1:23" ht="48.75" customHeight="1" x14ac:dyDescent="0.25">
      <c r="A63" s="740">
        <v>200201</v>
      </c>
      <c r="B63" s="386">
        <v>140501</v>
      </c>
      <c r="C63" s="382"/>
      <c r="D63" s="962"/>
      <c r="E63" s="963"/>
      <c r="F63" s="957"/>
      <c r="G63" s="383" t="s">
        <v>53</v>
      </c>
      <c r="H63" s="245"/>
      <c r="I63" s="245">
        <f t="shared" ref="I63:S63" si="48">VLOOKUP($A63&amp;$B63&amp;I$11,Base,9,FALSE)</f>
        <v>10511.34</v>
      </c>
      <c r="J63" s="245">
        <f t="shared" si="48"/>
        <v>10511.34</v>
      </c>
      <c r="K63" s="245">
        <f t="shared" si="48"/>
        <v>10511.34</v>
      </c>
      <c r="L63" s="245">
        <f t="shared" si="48"/>
        <v>10511.34</v>
      </c>
      <c r="M63" s="245">
        <f t="shared" si="48"/>
        <v>10511.34</v>
      </c>
      <c r="N63" s="245">
        <f t="shared" si="48"/>
        <v>10511.34</v>
      </c>
      <c r="O63" s="245">
        <f t="shared" si="48"/>
        <v>10511.34</v>
      </c>
      <c r="P63" s="245">
        <f t="shared" si="48"/>
        <v>10511.34</v>
      </c>
      <c r="Q63" s="245">
        <f t="shared" si="48"/>
        <v>10511.34</v>
      </c>
      <c r="R63" s="245">
        <f t="shared" si="48"/>
        <v>0</v>
      </c>
      <c r="S63" s="245">
        <f t="shared" si="48"/>
        <v>0</v>
      </c>
      <c r="T63" s="384">
        <f t="shared" si="2"/>
        <v>94602.059999999983</v>
      </c>
      <c r="U63" s="903"/>
    </row>
    <row r="64" spans="1:23" ht="48" customHeight="1" x14ac:dyDescent="0.25">
      <c r="A64" s="311">
        <v>200200</v>
      </c>
      <c r="B64" s="386">
        <v>142601</v>
      </c>
      <c r="C64" s="382" t="s">
        <v>461</v>
      </c>
      <c r="D64" s="962" t="s">
        <v>521</v>
      </c>
      <c r="E64" s="963" t="s">
        <v>522</v>
      </c>
      <c r="F64" s="957">
        <f>SUM(H64:S64)</f>
        <v>276242.40000000002</v>
      </c>
      <c r="G64" s="383" t="s">
        <v>52</v>
      </c>
      <c r="H64" s="245"/>
      <c r="I64" s="245">
        <f t="shared" ref="I64:S64" si="49">VLOOKUP($A64&amp;$B64&amp;I$11,Base,8,FALSE)</f>
        <v>0</v>
      </c>
      <c r="J64" s="245">
        <f t="shared" si="49"/>
        <v>46040.4</v>
      </c>
      <c r="K64" s="245">
        <f t="shared" si="49"/>
        <v>0</v>
      </c>
      <c r="L64" s="245">
        <f t="shared" si="49"/>
        <v>0</v>
      </c>
      <c r="M64" s="245">
        <f t="shared" si="49"/>
        <v>69060.600000000006</v>
      </c>
      <c r="N64" s="245">
        <f t="shared" si="49"/>
        <v>0</v>
      </c>
      <c r="O64" s="245">
        <f t="shared" si="49"/>
        <v>46040.4</v>
      </c>
      <c r="P64" s="245">
        <f t="shared" si="49"/>
        <v>23020.2</v>
      </c>
      <c r="Q64" s="245">
        <f t="shared" si="49"/>
        <v>23027.4</v>
      </c>
      <c r="R64" s="245">
        <f t="shared" si="49"/>
        <v>23021</v>
      </c>
      <c r="S64" s="245">
        <f t="shared" si="49"/>
        <v>46032.4</v>
      </c>
      <c r="T64" s="384">
        <f ca="1">SUM($H64:(OFFSET($H64,0,AVANCE060826!$T$2)))</f>
        <v>207189</v>
      </c>
      <c r="U64" s="903"/>
      <c r="W64" s="9"/>
    </row>
    <row r="65" spans="1:23" ht="48" customHeight="1" x14ac:dyDescent="0.25">
      <c r="A65" s="311">
        <v>200200</v>
      </c>
      <c r="B65" s="386">
        <v>142601</v>
      </c>
      <c r="C65" s="382"/>
      <c r="D65" s="962"/>
      <c r="E65" s="963"/>
      <c r="F65" s="957"/>
      <c r="G65" s="383" t="s">
        <v>53</v>
      </c>
      <c r="H65" s="245"/>
      <c r="I65" s="245">
        <f t="shared" ref="I65:S65" si="50">VLOOKUP($A65&amp;$B65&amp;I$11,Base,9,FALSE)</f>
        <v>0</v>
      </c>
      <c r="J65" s="245">
        <f t="shared" si="50"/>
        <v>46040.4</v>
      </c>
      <c r="K65" s="245">
        <f t="shared" si="50"/>
        <v>0</v>
      </c>
      <c r="L65" s="245">
        <f t="shared" si="50"/>
        <v>0</v>
      </c>
      <c r="M65" s="245">
        <f t="shared" si="50"/>
        <v>69060.600000000006</v>
      </c>
      <c r="N65" s="245">
        <f t="shared" si="50"/>
        <v>0</v>
      </c>
      <c r="O65" s="245">
        <f t="shared" si="50"/>
        <v>46040.4</v>
      </c>
      <c r="P65" s="245">
        <f t="shared" si="50"/>
        <v>23020.2</v>
      </c>
      <c r="Q65" s="245">
        <f t="shared" si="50"/>
        <v>0</v>
      </c>
      <c r="R65" s="245">
        <f t="shared" si="50"/>
        <v>0</v>
      </c>
      <c r="S65" s="245">
        <f t="shared" si="50"/>
        <v>0</v>
      </c>
      <c r="T65" s="384">
        <f t="shared" si="2"/>
        <v>184161.6</v>
      </c>
      <c r="U65" s="903"/>
      <c r="W65" s="9"/>
    </row>
    <row r="66" spans="1:23" ht="46.5" customHeight="1" x14ac:dyDescent="0.25">
      <c r="A66" s="311">
        <v>900110</v>
      </c>
      <c r="B66" s="386">
        <v>149104</v>
      </c>
      <c r="C66" s="382" t="s">
        <v>461</v>
      </c>
      <c r="D66" s="962" t="s">
        <v>523</v>
      </c>
      <c r="E66" s="963" t="s">
        <v>190</v>
      </c>
      <c r="F66" s="957">
        <f>SUM(H66:S66)</f>
        <v>121525.78</v>
      </c>
      <c r="G66" s="383" t="s">
        <v>52</v>
      </c>
      <c r="H66" s="245"/>
      <c r="I66" s="245">
        <f t="shared" ref="I66:S66" si="51">VLOOKUP($A66&amp;$B66&amp;I$11,Base,8,FALSE)</f>
        <v>10127.15</v>
      </c>
      <c r="J66" s="245">
        <f t="shared" si="51"/>
        <v>10127.15</v>
      </c>
      <c r="K66" s="245">
        <f t="shared" si="51"/>
        <v>0</v>
      </c>
      <c r="L66" s="245">
        <f t="shared" si="51"/>
        <v>20254.3</v>
      </c>
      <c r="M66" s="245">
        <f t="shared" si="51"/>
        <v>10127.15</v>
      </c>
      <c r="N66" s="245">
        <f t="shared" si="51"/>
        <v>10127.15</v>
      </c>
      <c r="O66" s="245">
        <f t="shared" si="51"/>
        <v>10127.15</v>
      </c>
      <c r="P66" s="245">
        <f t="shared" si="51"/>
        <v>10127.15</v>
      </c>
      <c r="Q66" s="245">
        <f t="shared" si="51"/>
        <v>10134.799999999999</v>
      </c>
      <c r="R66" s="245">
        <f t="shared" si="51"/>
        <v>10128</v>
      </c>
      <c r="S66" s="245">
        <f t="shared" si="51"/>
        <v>20245.78</v>
      </c>
      <c r="T66" s="384">
        <f ca="1">SUM($H66:(OFFSET($H66,0,AVANCE060826!$T$2)))</f>
        <v>91152</v>
      </c>
      <c r="U66" s="903"/>
      <c r="W66" s="9"/>
    </row>
    <row r="67" spans="1:23" ht="46.5" customHeight="1" x14ac:dyDescent="0.25">
      <c r="A67" s="311">
        <v>900110</v>
      </c>
      <c r="B67" s="386">
        <v>149104</v>
      </c>
      <c r="C67" s="382"/>
      <c r="D67" s="962"/>
      <c r="E67" s="963"/>
      <c r="F67" s="957"/>
      <c r="G67" s="383" t="s">
        <v>53</v>
      </c>
      <c r="H67" s="245"/>
      <c r="I67" s="245">
        <f t="shared" ref="I67:S67" si="52">VLOOKUP($A67&amp;$B67&amp;I$11,Base,9,FALSE)</f>
        <v>10127.15</v>
      </c>
      <c r="J67" s="245">
        <f t="shared" si="52"/>
        <v>10127.15</v>
      </c>
      <c r="K67" s="245">
        <f t="shared" si="52"/>
        <v>0</v>
      </c>
      <c r="L67" s="245">
        <f t="shared" si="52"/>
        <v>20254.3</v>
      </c>
      <c r="M67" s="245">
        <f t="shared" si="52"/>
        <v>10127.15</v>
      </c>
      <c r="N67" s="245">
        <f t="shared" si="52"/>
        <v>10127.15</v>
      </c>
      <c r="O67" s="245">
        <f t="shared" si="52"/>
        <v>10127.15</v>
      </c>
      <c r="P67" s="245">
        <f t="shared" si="52"/>
        <v>10127.15</v>
      </c>
      <c r="Q67" s="245">
        <f t="shared" si="52"/>
        <v>0</v>
      </c>
      <c r="R67" s="245">
        <f t="shared" si="52"/>
        <v>0</v>
      </c>
      <c r="S67" s="245">
        <f t="shared" si="52"/>
        <v>0</v>
      </c>
      <c r="T67" s="384">
        <f t="shared" si="2"/>
        <v>81017.2</v>
      </c>
      <c r="U67" s="903"/>
      <c r="W67" s="9"/>
    </row>
    <row r="68" spans="1:23" ht="58.5" customHeight="1" x14ac:dyDescent="0.25">
      <c r="A68" s="311">
        <v>900110</v>
      </c>
      <c r="B68" s="386">
        <v>149106</v>
      </c>
      <c r="C68" s="382" t="s">
        <v>461</v>
      </c>
      <c r="D68" s="962" t="s">
        <v>524</v>
      </c>
      <c r="E68" s="963" t="s">
        <v>190</v>
      </c>
      <c r="F68" s="957">
        <f>SUM(H68:S68)</f>
        <v>2649671.9999999995</v>
      </c>
      <c r="G68" s="383" t="s">
        <v>52</v>
      </c>
      <c r="H68" s="245"/>
      <c r="I68" s="245">
        <f t="shared" ref="I68:S68" si="53">VLOOKUP($A68&amp;$B68&amp;I$11,Base,8,FALSE)</f>
        <v>220805.88</v>
      </c>
      <c r="J68" s="245">
        <f t="shared" si="53"/>
        <v>220805.88</v>
      </c>
      <c r="K68" s="245">
        <f t="shared" si="53"/>
        <v>220805.88</v>
      </c>
      <c r="L68" s="245">
        <f t="shared" si="53"/>
        <v>220805.88</v>
      </c>
      <c r="M68" s="245">
        <f t="shared" si="53"/>
        <v>220805.88</v>
      </c>
      <c r="N68" s="245">
        <f t="shared" si="53"/>
        <v>220805.88</v>
      </c>
      <c r="O68" s="245">
        <f t="shared" si="53"/>
        <v>220805.88</v>
      </c>
      <c r="P68" s="245">
        <f t="shared" si="53"/>
        <v>220805.88</v>
      </c>
      <c r="Q68" s="245">
        <f t="shared" si="53"/>
        <v>220806.96</v>
      </c>
      <c r="R68" s="245">
        <f t="shared" si="53"/>
        <v>220806</v>
      </c>
      <c r="S68" s="245">
        <f t="shared" si="53"/>
        <v>441612</v>
      </c>
      <c r="T68" s="384">
        <f ca="1">SUM($H68:(OFFSET($H68,0,AVANCE060826!$T$2)))</f>
        <v>1987253.9999999995</v>
      </c>
      <c r="U68" s="903"/>
      <c r="W68" s="9"/>
    </row>
    <row r="69" spans="1:23" ht="58.5" customHeight="1" x14ac:dyDescent="0.25">
      <c r="A69" s="311">
        <v>900110</v>
      </c>
      <c r="B69" s="386">
        <v>149106</v>
      </c>
      <c r="C69" s="382"/>
      <c r="D69" s="962"/>
      <c r="E69" s="963"/>
      <c r="F69" s="957"/>
      <c r="G69" s="383" t="s">
        <v>53</v>
      </c>
      <c r="H69" s="245"/>
      <c r="I69" s="245">
        <f t="shared" ref="I69:S69" si="54">VLOOKUP($A69&amp;$B69&amp;I$11,Base,9,FALSE)</f>
        <v>220805.88</v>
      </c>
      <c r="J69" s="245">
        <f t="shared" si="54"/>
        <v>220805.88</v>
      </c>
      <c r="K69" s="245">
        <f t="shared" si="54"/>
        <v>220805.88</v>
      </c>
      <c r="L69" s="245">
        <f t="shared" si="54"/>
        <v>220805.88</v>
      </c>
      <c r="M69" s="245">
        <f t="shared" si="54"/>
        <v>220805.88</v>
      </c>
      <c r="N69" s="245">
        <f t="shared" si="54"/>
        <v>220805.88</v>
      </c>
      <c r="O69" s="245">
        <f t="shared" si="54"/>
        <v>220805.88</v>
      </c>
      <c r="P69" s="245">
        <f t="shared" si="54"/>
        <v>220805.88</v>
      </c>
      <c r="Q69" s="245">
        <f t="shared" si="54"/>
        <v>220805.88</v>
      </c>
      <c r="R69" s="245">
        <f t="shared" si="54"/>
        <v>0</v>
      </c>
      <c r="S69" s="245">
        <f t="shared" si="54"/>
        <v>0</v>
      </c>
      <c r="T69" s="384">
        <f t="shared" si="2"/>
        <v>1987252.9199999995</v>
      </c>
      <c r="U69" s="903"/>
      <c r="W69" s="9"/>
    </row>
    <row r="70" spans="1:23" ht="81.75" customHeight="1" x14ac:dyDescent="0.25">
      <c r="A70" s="311">
        <v>200200</v>
      </c>
      <c r="B70" s="386">
        <v>140102</v>
      </c>
      <c r="C70" s="382" t="s">
        <v>461</v>
      </c>
      <c r="D70" s="962" t="s">
        <v>525</v>
      </c>
      <c r="E70" s="963" t="s">
        <v>526</v>
      </c>
      <c r="F70" s="957">
        <f>SUM(H70:S70)</f>
        <v>485712.3</v>
      </c>
      <c r="G70" s="383" t="s">
        <v>52</v>
      </c>
      <c r="H70" s="245"/>
      <c r="I70" s="245">
        <f t="shared" ref="I70:S70" si="55">VLOOKUP($A70&amp;$B70&amp;I$11,Base,8,FALSE)</f>
        <v>27840</v>
      </c>
      <c r="J70" s="245">
        <f t="shared" si="55"/>
        <v>27840</v>
      </c>
      <c r="K70" s="245">
        <f t="shared" si="55"/>
        <v>27840</v>
      </c>
      <c r="L70" s="245">
        <f t="shared" si="55"/>
        <v>27840</v>
      </c>
      <c r="M70" s="245">
        <f t="shared" si="55"/>
        <v>27840</v>
      </c>
      <c r="N70" s="245">
        <f t="shared" si="55"/>
        <v>27840</v>
      </c>
      <c r="O70" s="245">
        <f t="shared" si="55"/>
        <v>27840</v>
      </c>
      <c r="P70" s="245">
        <f t="shared" si="55"/>
        <v>27840</v>
      </c>
      <c r="Q70" s="245">
        <f t="shared" si="55"/>
        <v>95952.3</v>
      </c>
      <c r="R70" s="245">
        <f t="shared" si="55"/>
        <v>55680</v>
      </c>
      <c r="S70" s="245">
        <f t="shared" si="55"/>
        <v>111360</v>
      </c>
      <c r="T70" s="384">
        <f ca="1">SUM($H70:(OFFSET($H70,0,AVANCE060826!$T$2)))</f>
        <v>318672.3</v>
      </c>
      <c r="U70" s="903"/>
      <c r="W70" s="9"/>
    </row>
    <row r="71" spans="1:23" ht="81.75" customHeight="1" x14ac:dyDescent="0.25">
      <c r="A71" s="311">
        <v>200200</v>
      </c>
      <c r="B71" s="386">
        <v>140102</v>
      </c>
      <c r="C71" s="382"/>
      <c r="D71" s="962"/>
      <c r="E71" s="963"/>
      <c r="F71" s="957"/>
      <c r="G71" s="383" t="s">
        <v>53</v>
      </c>
      <c r="H71" s="245"/>
      <c r="I71" s="245">
        <f t="shared" ref="I71:S71" si="56">VLOOKUP($A71&amp;$B71&amp;I$11,Base,9,FALSE)</f>
        <v>27840</v>
      </c>
      <c r="J71" s="245">
        <f t="shared" si="56"/>
        <v>27840</v>
      </c>
      <c r="K71" s="245">
        <f t="shared" si="56"/>
        <v>27840</v>
      </c>
      <c r="L71" s="245">
        <f t="shared" si="56"/>
        <v>27840</v>
      </c>
      <c r="M71" s="245">
        <f t="shared" si="56"/>
        <v>27840</v>
      </c>
      <c r="N71" s="245">
        <f t="shared" si="56"/>
        <v>27840</v>
      </c>
      <c r="O71" s="245">
        <f t="shared" si="56"/>
        <v>27840</v>
      </c>
      <c r="P71" s="245">
        <f t="shared" si="56"/>
        <v>27840</v>
      </c>
      <c r="Q71" s="245">
        <f t="shared" si="56"/>
        <v>0</v>
      </c>
      <c r="R71" s="245">
        <f t="shared" si="56"/>
        <v>0</v>
      </c>
      <c r="S71" s="245">
        <f t="shared" si="56"/>
        <v>0</v>
      </c>
      <c r="T71" s="384">
        <f t="shared" si="2"/>
        <v>222720</v>
      </c>
      <c r="U71" s="903"/>
      <c r="W71" s="9"/>
    </row>
    <row r="72" spans="1:23" ht="69" customHeight="1" x14ac:dyDescent="0.25">
      <c r="A72" s="311" t="s">
        <v>528</v>
      </c>
      <c r="B72" s="386" t="s">
        <v>527</v>
      </c>
      <c r="C72" s="382" t="s">
        <v>461</v>
      </c>
      <c r="D72" s="962" t="s">
        <v>529</v>
      </c>
      <c r="E72" s="963" t="s">
        <v>530</v>
      </c>
      <c r="F72" s="957">
        <v>1531200</v>
      </c>
      <c r="G72" s="383" t="s">
        <v>52</v>
      </c>
      <c r="H72" s="245">
        <v>127600</v>
      </c>
      <c r="I72" s="245">
        <v>127600</v>
      </c>
      <c r="J72" s="245">
        <v>127600</v>
      </c>
      <c r="K72" s="245">
        <v>127600</v>
      </c>
      <c r="L72" s="245">
        <v>127600</v>
      </c>
      <c r="M72" s="245">
        <v>127600</v>
      </c>
      <c r="N72" s="245"/>
      <c r="O72" s="245">
        <f>IF(((VLOOKUP(O$11,AVANCE060826!$Q$8:$R$19,2,FALSE))&lt;=AVANCE060826!$S$2),$H72,0)</f>
        <v>127600</v>
      </c>
      <c r="P72" s="245">
        <f>IF(((VLOOKUP(P$11,AVANCE060826!$Q$8:$R$19,2,FALSE))&lt;=AVANCE060826!$S$2),$H72,0)</f>
        <v>127600</v>
      </c>
      <c r="Q72" s="245">
        <f>IF(((VLOOKUP(Q$11,AVANCE060826!$Q$8:$R$19,2,FALSE))&lt;=AVANCE060826!$S$2),$H72,0)</f>
        <v>0</v>
      </c>
      <c r="R72" s="245">
        <f>IF(((VLOOKUP(R$11,AVANCE060826!$Q$8:$R$19,2,FALSE))&lt;=AVANCE060826!$S$2),$H72,0)</f>
        <v>0</v>
      </c>
      <c r="S72" s="245">
        <f>IF(((VLOOKUP(S$11,AVANCE060826!$Q$8:$R$19,2,FALSE))&lt;=AVANCE060826!$S$2),$H72,0)</f>
        <v>0</v>
      </c>
      <c r="T72" s="384">
        <f ca="1">SUM($H72:(OFFSET($H72,0,AVANCE060826!$T$2)))</f>
        <v>1020800</v>
      </c>
      <c r="U72" s="903"/>
      <c r="W72" s="9"/>
    </row>
    <row r="73" spans="1:23" ht="69" customHeight="1" x14ac:dyDescent="0.25">
      <c r="A73" s="311" t="s">
        <v>528</v>
      </c>
      <c r="B73" s="386" t="s">
        <v>527</v>
      </c>
      <c r="C73" s="382"/>
      <c r="D73" s="962"/>
      <c r="E73" s="963"/>
      <c r="F73" s="957"/>
      <c r="G73" s="383" t="s">
        <v>53</v>
      </c>
      <c r="H73" s="245"/>
      <c r="I73" s="820"/>
      <c r="J73" s="820"/>
      <c r="K73" s="820"/>
      <c r="L73" s="820"/>
      <c r="M73" s="820">
        <v>510400</v>
      </c>
      <c r="N73" s="820">
        <v>255200</v>
      </c>
      <c r="O73" s="820"/>
      <c r="P73" s="820">
        <v>255200</v>
      </c>
      <c r="Q73" s="820"/>
      <c r="R73" s="820"/>
      <c r="S73" s="820"/>
      <c r="T73" s="384">
        <f t="shared" si="2"/>
        <v>1020800</v>
      </c>
      <c r="U73" s="903"/>
      <c r="W73" s="9"/>
    </row>
    <row r="74" spans="1:23" ht="73.5" customHeight="1" x14ac:dyDescent="0.25">
      <c r="A74" s="311">
        <v>900110</v>
      </c>
      <c r="B74" s="386">
        <v>149107</v>
      </c>
      <c r="C74" s="382" t="s">
        <v>461</v>
      </c>
      <c r="D74" s="962" t="s">
        <v>531</v>
      </c>
      <c r="E74" s="963" t="s">
        <v>210</v>
      </c>
      <c r="F74" s="957">
        <f>SUM(H74:S74)</f>
        <v>278400</v>
      </c>
      <c r="G74" s="383" t="s">
        <v>52</v>
      </c>
      <c r="H74" s="245"/>
      <c r="I74" s="245">
        <f t="shared" ref="I74:S74" si="57">VLOOKUP($A74&amp;$B74&amp;I$11,Base,8,FALSE)</f>
        <v>23199.99</v>
      </c>
      <c r="J74" s="245">
        <f t="shared" si="57"/>
        <v>23199.99</v>
      </c>
      <c r="K74" s="245">
        <f t="shared" si="57"/>
        <v>19999.990000000002</v>
      </c>
      <c r="L74" s="245">
        <f t="shared" si="57"/>
        <v>23199.99</v>
      </c>
      <c r="M74" s="245">
        <f t="shared" si="57"/>
        <v>23199.99</v>
      </c>
      <c r="N74" s="245">
        <f t="shared" si="57"/>
        <v>23199.99</v>
      </c>
      <c r="O74" s="245">
        <f t="shared" si="57"/>
        <v>23199.99</v>
      </c>
      <c r="P74" s="245">
        <f t="shared" si="57"/>
        <v>23199.99</v>
      </c>
      <c r="Q74" s="245">
        <f t="shared" si="57"/>
        <v>26400.080000000002</v>
      </c>
      <c r="R74" s="245">
        <f t="shared" si="57"/>
        <v>23200</v>
      </c>
      <c r="S74" s="245">
        <f t="shared" si="57"/>
        <v>46400</v>
      </c>
      <c r="T74" s="384">
        <f ca="1">SUM($H74:(OFFSET($H74,0,AVANCE060826!$T$2)))</f>
        <v>208800</v>
      </c>
      <c r="U74" s="903"/>
      <c r="W74" s="9"/>
    </row>
    <row r="75" spans="1:23" ht="73.5" customHeight="1" x14ac:dyDescent="0.25">
      <c r="A75" s="311">
        <v>900110</v>
      </c>
      <c r="B75" s="386">
        <v>149107</v>
      </c>
      <c r="C75" s="382"/>
      <c r="D75" s="962"/>
      <c r="E75" s="963"/>
      <c r="F75" s="957"/>
      <c r="G75" s="383" t="s">
        <v>53</v>
      </c>
      <c r="H75" s="245"/>
      <c r="I75" s="245">
        <f t="shared" ref="I75:S75" si="58">VLOOKUP($A75&amp;$B75&amp;I$11,Base,9,FALSE)</f>
        <v>23199.99</v>
      </c>
      <c r="J75" s="245">
        <f t="shared" si="58"/>
        <v>23199.99</v>
      </c>
      <c r="K75" s="245">
        <f t="shared" si="58"/>
        <v>19999.990000000002</v>
      </c>
      <c r="L75" s="245">
        <f t="shared" si="58"/>
        <v>23199.99</v>
      </c>
      <c r="M75" s="245">
        <f t="shared" si="58"/>
        <v>23199.99</v>
      </c>
      <c r="N75" s="245">
        <f t="shared" si="58"/>
        <v>23199.99</v>
      </c>
      <c r="O75" s="245">
        <f t="shared" si="58"/>
        <v>23199.99</v>
      </c>
      <c r="P75" s="245">
        <f t="shared" si="58"/>
        <v>23199.99</v>
      </c>
      <c r="Q75" s="245">
        <f t="shared" si="58"/>
        <v>0</v>
      </c>
      <c r="R75" s="245">
        <f t="shared" si="58"/>
        <v>0</v>
      </c>
      <c r="S75" s="245">
        <f t="shared" si="58"/>
        <v>0</v>
      </c>
      <c r="T75" s="384">
        <f t="shared" si="2"/>
        <v>182399.91999999998</v>
      </c>
      <c r="U75" s="903"/>
      <c r="W75" s="9"/>
    </row>
    <row r="76" spans="1:23" ht="72" customHeight="1" x14ac:dyDescent="0.25">
      <c r="A76" s="311">
        <v>150100</v>
      </c>
      <c r="B76" s="386">
        <v>149001</v>
      </c>
      <c r="C76" s="382" t="s">
        <v>461</v>
      </c>
      <c r="D76" s="962" t="s">
        <v>532</v>
      </c>
      <c r="E76" s="964" t="s">
        <v>204</v>
      </c>
      <c r="F76" s="957">
        <f>SUM(H76:S76)</f>
        <v>27697971.000000004</v>
      </c>
      <c r="G76" s="383" t="s">
        <v>52</v>
      </c>
      <c r="H76" s="245"/>
      <c r="I76" s="245">
        <f t="shared" ref="I76:S76" si="59">VLOOKUP($A76&amp;$B76&amp;I$11,Base,8,FALSE)</f>
        <v>2308162.96</v>
      </c>
      <c r="J76" s="245">
        <f t="shared" si="59"/>
        <v>2308162.96</v>
      </c>
      <c r="K76" s="245">
        <f t="shared" si="59"/>
        <v>2308162.96</v>
      </c>
      <c r="L76" s="245">
        <f t="shared" si="59"/>
        <v>2308162.96</v>
      </c>
      <c r="M76" s="245">
        <f t="shared" si="59"/>
        <v>2308162.96</v>
      </c>
      <c r="N76" s="245">
        <f t="shared" si="59"/>
        <v>2308162.96</v>
      </c>
      <c r="O76" s="245">
        <f t="shared" si="59"/>
        <v>2308162.96</v>
      </c>
      <c r="P76" s="245">
        <f t="shared" si="59"/>
        <v>2308162.96</v>
      </c>
      <c r="Q76" s="245">
        <f t="shared" si="59"/>
        <v>2308181.3199999998</v>
      </c>
      <c r="R76" s="245">
        <f t="shared" si="59"/>
        <v>2308165</v>
      </c>
      <c r="S76" s="245">
        <f t="shared" si="59"/>
        <v>4616321</v>
      </c>
      <c r="T76" s="384">
        <f ca="1">SUM($H76:(OFFSET($H76,0,AVANCE060826!$T$2)))</f>
        <v>20773485.000000004</v>
      </c>
      <c r="U76" s="903"/>
      <c r="W76" s="9"/>
    </row>
    <row r="77" spans="1:23" ht="72" customHeight="1" x14ac:dyDescent="0.25">
      <c r="A77" s="311">
        <v>150100</v>
      </c>
      <c r="B77" s="386">
        <v>149001</v>
      </c>
      <c r="C77" s="382"/>
      <c r="D77" s="962"/>
      <c r="E77" s="964"/>
      <c r="F77" s="957"/>
      <c r="G77" s="383" t="s">
        <v>53</v>
      </c>
      <c r="H77" s="245"/>
      <c r="I77" s="245">
        <f t="shared" ref="I77:S77" si="60">VLOOKUP($A77&amp;$B77&amp;I$11,Base,9,FALSE)</f>
        <v>2308162.96</v>
      </c>
      <c r="J77" s="245">
        <f t="shared" si="60"/>
        <v>2308162.96</v>
      </c>
      <c r="K77" s="245">
        <f t="shared" si="60"/>
        <v>2308162.96</v>
      </c>
      <c r="L77" s="245">
        <f t="shared" si="60"/>
        <v>2308162.96</v>
      </c>
      <c r="M77" s="245">
        <f t="shared" si="60"/>
        <v>2308162.96</v>
      </c>
      <c r="N77" s="245">
        <f t="shared" si="60"/>
        <v>2308162.96</v>
      </c>
      <c r="O77" s="245">
        <f t="shared" si="60"/>
        <v>2308162.96</v>
      </c>
      <c r="P77" s="245">
        <f t="shared" si="60"/>
        <v>2308162.96</v>
      </c>
      <c r="Q77" s="245">
        <f t="shared" si="60"/>
        <v>2308162.96</v>
      </c>
      <c r="R77" s="245">
        <f t="shared" si="60"/>
        <v>0</v>
      </c>
      <c r="S77" s="245">
        <f t="shared" si="60"/>
        <v>0</v>
      </c>
      <c r="T77" s="384">
        <f t="shared" si="2"/>
        <v>20773466.640000004</v>
      </c>
      <c r="U77" s="903"/>
      <c r="W77" s="9"/>
    </row>
    <row r="78" spans="1:23" ht="72" customHeight="1" x14ac:dyDescent="0.25">
      <c r="A78" s="311">
        <v>150100</v>
      </c>
      <c r="B78" s="386" t="s">
        <v>533</v>
      </c>
      <c r="C78" s="382" t="s">
        <v>461</v>
      </c>
      <c r="D78" s="962" t="s">
        <v>534</v>
      </c>
      <c r="E78" s="963" t="s">
        <v>535</v>
      </c>
      <c r="F78" s="957">
        <v>60482.400000000001</v>
      </c>
      <c r="G78" s="383" t="s">
        <v>52</v>
      </c>
      <c r="H78" s="245"/>
      <c r="I78" s="245">
        <f>IF(((VLOOKUP(I$11,AVANCE060826!$Q$8:$R$19,2,FALSE))&lt;=AVANCE060826!$S$2),$H78,0)</f>
        <v>0</v>
      </c>
      <c r="J78" s="245">
        <f>IF(((VLOOKUP(J$11,AVANCE060826!$Q$8:$R$19,2,FALSE))&lt;=AVANCE060826!$S$2),$H78,0)</f>
        <v>0</v>
      </c>
      <c r="K78" s="245">
        <f>IF(((VLOOKUP(K$11,AVANCE060826!$Q$8:$R$19,2,FALSE))&lt;=AVANCE060826!$S$2),$H78,0)</f>
        <v>0</v>
      </c>
      <c r="L78" s="245">
        <f>IF(((VLOOKUP(L$11,AVANCE060826!$Q$8:$R$19,2,FALSE))&lt;=AVANCE060826!$S$2),$H78,0)</f>
        <v>0</v>
      </c>
      <c r="M78" s="245">
        <f>IF(((VLOOKUP(M$11,AVANCE060826!$Q$8:$R$19,2,FALSE))&lt;=AVANCE060826!$S$2),$H78,0)</f>
        <v>0</v>
      </c>
      <c r="N78" s="245">
        <f>IF(((VLOOKUP(N$11,AVANCE060826!$Q$8:$R$19,2,FALSE))&lt;=AVANCE060826!$S$2),$H78,0)</f>
        <v>0</v>
      </c>
      <c r="O78" s="245">
        <f>IF(((VLOOKUP(O$11,AVANCE060826!$Q$8:$R$19,2,FALSE))&lt;=AVANCE060826!$S$2),$H78,0)</f>
        <v>0</v>
      </c>
      <c r="P78" s="245">
        <f>IF(((VLOOKUP(P$11,AVANCE060826!$Q$8:$R$19,2,FALSE))&lt;=AVANCE060826!$S$2),$H78,0)</f>
        <v>0</v>
      </c>
      <c r="Q78" s="245">
        <f>IF(((VLOOKUP(Q$11,AVANCE060826!$Q$8:$R$19,2,FALSE))&lt;=AVANCE060826!$S$2),$H78,0)</f>
        <v>0</v>
      </c>
      <c r="R78" s="245">
        <f>IF(((VLOOKUP(R$11,AVANCE060826!$Q$8:$R$19,2,FALSE))&lt;=AVANCE060826!$S$2),$H78,0)</f>
        <v>0</v>
      </c>
      <c r="S78" s="245">
        <f>IF(((VLOOKUP(S$11,AVANCE060826!$Q$8:$R$19,2,FALSE))&lt;=AVANCE060826!$S$2),$H78,0)</f>
        <v>0</v>
      </c>
      <c r="T78" s="384">
        <f ca="1">SUM($H78:(OFFSET($H78,0,AVANCE060826!$T$2)))</f>
        <v>0</v>
      </c>
      <c r="U78" s="934"/>
      <c r="W78" s="9"/>
    </row>
    <row r="79" spans="1:23" ht="72" customHeight="1" x14ac:dyDescent="0.25">
      <c r="A79" s="311">
        <v>150100</v>
      </c>
      <c r="B79" s="386" t="s">
        <v>533</v>
      </c>
      <c r="C79" s="382"/>
      <c r="D79" s="962"/>
      <c r="E79" s="963"/>
      <c r="F79" s="957"/>
      <c r="G79" s="383" t="s">
        <v>53</v>
      </c>
      <c r="H79" s="245"/>
      <c r="I79" s="820">
        <v>5040.2</v>
      </c>
      <c r="J79" s="820">
        <v>5040.2</v>
      </c>
      <c r="K79" s="820"/>
      <c r="L79" s="820">
        <v>10080.4</v>
      </c>
      <c r="M79" s="820">
        <v>5040.2</v>
      </c>
      <c r="N79" s="820">
        <v>5040.2</v>
      </c>
      <c r="O79" s="820">
        <v>5040.2</v>
      </c>
      <c r="P79" s="820">
        <v>5040.2</v>
      </c>
      <c r="Q79" s="820"/>
      <c r="R79" s="820"/>
      <c r="S79" s="820"/>
      <c r="T79" s="384">
        <f>SUM(H79:S79)</f>
        <v>40321.599999999999</v>
      </c>
      <c r="U79" s="935"/>
      <c r="W79" s="9"/>
    </row>
    <row r="80" spans="1:23" ht="83.25" hidden="1" customHeight="1" x14ac:dyDescent="0.25">
      <c r="A80" s="311" t="s">
        <v>537</v>
      </c>
      <c r="B80" s="386" t="s">
        <v>536</v>
      </c>
      <c r="C80" s="382" t="s">
        <v>461</v>
      </c>
      <c r="D80" s="962" t="s">
        <v>538</v>
      </c>
      <c r="E80" s="966" t="s">
        <v>539</v>
      </c>
      <c r="F80" s="957"/>
      <c r="G80" s="383" t="s">
        <v>52</v>
      </c>
      <c r="H80" s="245"/>
      <c r="I80" s="245"/>
      <c r="J80" s="245"/>
      <c r="K80" s="245"/>
      <c r="L80" s="245"/>
      <c r="M80" s="245"/>
      <c r="N80" s="245"/>
      <c r="O80" s="245"/>
      <c r="P80" s="245"/>
      <c r="Q80" s="245"/>
      <c r="R80" s="245"/>
      <c r="S80" s="245"/>
      <c r="T80" s="384">
        <f>SUM(H80:S80)</f>
        <v>0</v>
      </c>
      <c r="U80" s="903"/>
    </row>
    <row r="81" spans="1:21" ht="83.25" hidden="1" customHeight="1" thickBot="1" x14ac:dyDescent="0.3">
      <c r="A81" s="311" t="s">
        <v>537</v>
      </c>
      <c r="B81" s="386" t="s">
        <v>536</v>
      </c>
      <c r="C81" s="315"/>
      <c r="D81" s="962"/>
      <c r="E81" s="966"/>
      <c r="F81" s="957"/>
      <c r="G81" s="383" t="s">
        <v>53</v>
      </c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384">
        <f>SUM(H81:S81)</f>
        <v>0</v>
      </c>
      <c r="U81" s="903"/>
    </row>
    <row r="82" spans="1:21" ht="15.75" thickBot="1" x14ac:dyDescent="0.3">
      <c r="A82" s="4">
        <v>33</v>
      </c>
      <c r="B82" s="4"/>
      <c r="C82" s="24">
        <f>COUNT(#REF!)</f>
        <v>0</v>
      </c>
      <c r="D82" s="7"/>
      <c r="E82" s="6"/>
      <c r="F82" s="32">
        <f>SUM(F14:F81)</f>
        <v>36492928.850000001</v>
      </c>
      <c r="G82" s="160" t="s">
        <v>52</v>
      </c>
      <c r="H82" s="298">
        <f>+H14+H16+H18+H20+H22+H24+H26+H28+H30+H32+H34+H36+H38+H40+H42+H44+H46+H48+H50+H52+H54+H56+H58+H60+H62+H64+H66+H68+H70+H72+H74+H76+H78+H80</f>
        <v>127600</v>
      </c>
      <c r="I82" s="298">
        <f t="shared" ref="I82:T83" si="61">+I14+I16+I18+I20+I22+I24+I26+I28+I30+I32+I34+I36+I38+I40+I42+I44+I46+I48+I50+I52+I54+I56+I58+I60+I62+I64+I66+I68+I70+I72+I74+I76+I78+I80</f>
        <v>2902507.9</v>
      </c>
      <c r="J82" s="298">
        <f t="shared" si="61"/>
        <v>2956859.57</v>
      </c>
      <c r="K82" s="298">
        <f t="shared" si="61"/>
        <v>2911083.79</v>
      </c>
      <c r="L82" s="298">
        <f t="shared" si="61"/>
        <v>2956730.84</v>
      </c>
      <c r="M82" s="298">
        <f t="shared" si="61"/>
        <v>3251748.02</v>
      </c>
      <c r="N82" s="298">
        <f t="shared" ref="N82:S82" si="62">+N14+N16+N18+N20+N22+N24+N26+N28+N30+N32+N34+N36+N38+N40+N42+N44+N46+N48+N50+N52+N54+N56+N58+N60+N62+N64+N66+N68+N70+N72+N74+N76+N78+N80</f>
        <v>2848697.42</v>
      </c>
      <c r="O82" s="298">
        <f t="shared" si="62"/>
        <v>3018681.39</v>
      </c>
      <c r="P82" s="298">
        <f t="shared" si="62"/>
        <v>2959651</v>
      </c>
      <c r="Q82" s="298">
        <f t="shared" si="62"/>
        <v>3136102.9699999997</v>
      </c>
      <c r="R82" s="298">
        <f t="shared" si="62"/>
        <v>2947165.4</v>
      </c>
      <c r="S82" s="298">
        <f t="shared" si="62"/>
        <v>5894257.1500000004</v>
      </c>
      <c r="T82" s="298">
        <f t="shared" ca="1" si="61"/>
        <v>27069662.900000002</v>
      </c>
      <c r="U82" s="5"/>
    </row>
    <row r="83" spans="1:21" ht="31.5" customHeight="1" x14ac:dyDescent="0.25">
      <c r="F83" s="3"/>
      <c r="G83" s="166" t="s">
        <v>53</v>
      </c>
      <c r="H83" s="298">
        <f>+H15+H17+H19+H21+H23+H25+H27+H29+H31+H33+H35+H37+H39+H41+H43+H45+H47+H49+H51+H53+H55+H57+H59+H61+H63+H65+H67+H69+H71+H73+H75+H77+H79+H81</f>
        <v>0</v>
      </c>
      <c r="I83" s="298">
        <f t="shared" si="61"/>
        <v>2780861.1</v>
      </c>
      <c r="J83" s="298">
        <f t="shared" si="61"/>
        <v>2835212.77</v>
      </c>
      <c r="K83" s="298">
        <f t="shared" si="61"/>
        <v>2783483.79</v>
      </c>
      <c r="L83" s="298">
        <f t="shared" si="61"/>
        <v>2841037.2399999998</v>
      </c>
      <c r="M83" s="298">
        <f t="shared" si="61"/>
        <v>3640501.22</v>
      </c>
      <c r="N83" s="298">
        <f t="shared" ref="N83:S83" si="63">+N15+N17+N19+N21+N23+N25+N27+N29+N31+N33+N35+N37+N39+N41+N43+N45+N47+N49+N51+N53+N55+N57+N59+N61+N63+N65+N67+N69+N71+N73+N75+N77+N79+N81</f>
        <v>3109850.62</v>
      </c>
      <c r="O83" s="298">
        <f t="shared" si="63"/>
        <v>2897034.5900000003</v>
      </c>
      <c r="P83" s="298">
        <f t="shared" si="63"/>
        <v>3093204.2</v>
      </c>
      <c r="Q83" s="298">
        <f t="shared" si="63"/>
        <v>2556430.5499999998</v>
      </c>
      <c r="R83" s="298">
        <f t="shared" si="63"/>
        <v>0</v>
      </c>
      <c r="S83" s="298">
        <f t="shared" si="63"/>
        <v>0</v>
      </c>
      <c r="T83" s="298">
        <f t="shared" si="61"/>
        <v>26537616.080000006</v>
      </c>
      <c r="U83" s="70"/>
    </row>
    <row r="84" spans="1:21" x14ac:dyDescent="0.25"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 t="s">
        <v>540</v>
      </c>
      <c r="T84" s="2"/>
    </row>
    <row r="85" spans="1:21" x14ac:dyDescent="0.25">
      <c r="T85" s="9"/>
    </row>
    <row r="86" spans="1:21" x14ac:dyDescent="0.25">
      <c r="T86" s="9"/>
    </row>
  </sheetData>
  <autoFilter ref="B13:B84"/>
  <mergeCells count="155">
    <mergeCell ref="D80:D81"/>
    <mergeCell ref="E80:E81"/>
    <mergeCell ref="F80:F81"/>
    <mergeCell ref="U80:U81"/>
    <mergeCell ref="D78:D79"/>
    <mergeCell ref="E78:E79"/>
    <mergeCell ref="F78:F79"/>
    <mergeCell ref="U74:U75"/>
    <mergeCell ref="D76:D77"/>
    <mergeCell ref="E76:E77"/>
    <mergeCell ref="F76:F77"/>
    <mergeCell ref="U76:U77"/>
    <mergeCell ref="D74:D75"/>
    <mergeCell ref="E74:E75"/>
    <mergeCell ref="F74:F75"/>
    <mergeCell ref="U78:U79"/>
    <mergeCell ref="D68:D69"/>
    <mergeCell ref="E68:E69"/>
    <mergeCell ref="F68:F69"/>
    <mergeCell ref="U68:U69"/>
    <mergeCell ref="D66:D67"/>
    <mergeCell ref="E66:E67"/>
    <mergeCell ref="F66:F67"/>
    <mergeCell ref="U70:U71"/>
    <mergeCell ref="D72:D73"/>
    <mergeCell ref="E72:E73"/>
    <mergeCell ref="F72:F73"/>
    <mergeCell ref="U72:U73"/>
    <mergeCell ref="D70:D71"/>
    <mergeCell ref="E70:E71"/>
    <mergeCell ref="F70:F71"/>
    <mergeCell ref="U62:U63"/>
    <mergeCell ref="D64:D65"/>
    <mergeCell ref="E64:E65"/>
    <mergeCell ref="F64:F65"/>
    <mergeCell ref="U64:U65"/>
    <mergeCell ref="D62:D63"/>
    <mergeCell ref="E62:E63"/>
    <mergeCell ref="F62:F63"/>
    <mergeCell ref="U66:U67"/>
    <mergeCell ref="D56:D57"/>
    <mergeCell ref="E56:E57"/>
    <mergeCell ref="F56:F57"/>
    <mergeCell ref="U56:U57"/>
    <mergeCell ref="D54:D55"/>
    <mergeCell ref="E54:E55"/>
    <mergeCell ref="F54:F55"/>
    <mergeCell ref="U58:U59"/>
    <mergeCell ref="D60:D61"/>
    <mergeCell ref="E60:E61"/>
    <mergeCell ref="F60:F61"/>
    <mergeCell ref="U60:U61"/>
    <mergeCell ref="D58:D59"/>
    <mergeCell ref="E58:E59"/>
    <mergeCell ref="F58:F59"/>
    <mergeCell ref="U50:U51"/>
    <mergeCell ref="D52:D53"/>
    <mergeCell ref="E52:E53"/>
    <mergeCell ref="F52:F53"/>
    <mergeCell ref="U52:U53"/>
    <mergeCell ref="D50:D51"/>
    <mergeCell ref="E50:E51"/>
    <mergeCell ref="F50:F51"/>
    <mergeCell ref="U54:U55"/>
    <mergeCell ref="D44:D45"/>
    <mergeCell ref="E44:E45"/>
    <mergeCell ref="F44:F45"/>
    <mergeCell ref="U44:U45"/>
    <mergeCell ref="D42:D43"/>
    <mergeCell ref="E42:E43"/>
    <mergeCell ref="F42:F43"/>
    <mergeCell ref="U46:U47"/>
    <mergeCell ref="D48:D49"/>
    <mergeCell ref="E48:E49"/>
    <mergeCell ref="F48:F49"/>
    <mergeCell ref="U48:U49"/>
    <mergeCell ref="D46:D47"/>
    <mergeCell ref="E46:E47"/>
    <mergeCell ref="F46:F47"/>
    <mergeCell ref="U38:U39"/>
    <mergeCell ref="D40:D41"/>
    <mergeCell ref="E40:E41"/>
    <mergeCell ref="F40:F41"/>
    <mergeCell ref="U40:U41"/>
    <mergeCell ref="D38:D39"/>
    <mergeCell ref="E38:E39"/>
    <mergeCell ref="F38:F39"/>
    <mergeCell ref="U42:U43"/>
    <mergeCell ref="D32:D33"/>
    <mergeCell ref="E32:E33"/>
    <mergeCell ref="F32:F33"/>
    <mergeCell ref="U32:U33"/>
    <mergeCell ref="D30:D31"/>
    <mergeCell ref="E30:E31"/>
    <mergeCell ref="F30:F31"/>
    <mergeCell ref="U34:U35"/>
    <mergeCell ref="D36:D37"/>
    <mergeCell ref="E36:E37"/>
    <mergeCell ref="F36:F37"/>
    <mergeCell ref="U36:U37"/>
    <mergeCell ref="D34:D35"/>
    <mergeCell ref="E34:E35"/>
    <mergeCell ref="F34:F35"/>
    <mergeCell ref="U26:U27"/>
    <mergeCell ref="D28:D29"/>
    <mergeCell ref="E28:E29"/>
    <mergeCell ref="F28:F29"/>
    <mergeCell ref="U28:U29"/>
    <mergeCell ref="D26:D27"/>
    <mergeCell ref="E26:E27"/>
    <mergeCell ref="F26:F27"/>
    <mergeCell ref="U30:U31"/>
    <mergeCell ref="D20:D21"/>
    <mergeCell ref="E20:E21"/>
    <mergeCell ref="F20:F21"/>
    <mergeCell ref="U20:U21"/>
    <mergeCell ref="D18:D19"/>
    <mergeCell ref="E18:E19"/>
    <mergeCell ref="F18:F19"/>
    <mergeCell ref="U22:U23"/>
    <mergeCell ref="D24:D25"/>
    <mergeCell ref="E24:E25"/>
    <mergeCell ref="F24:F25"/>
    <mergeCell ref="U24:U25"/>
    <mergeCell ref="D22:D23"/>
    <mergeCell ref="E22:E23"/>
    <mergeCell ref="F22:F23"/>
    <mergeCell ref="U14:U15"/>
    <mergeCell ref="D16:D17"/>
    <mergeCell ref="E16:E17"/>
    <mergeCell ref="F16:F17"/>
    <mergeCell ref="U16:U17"/>
    <mergeCell ref="D14:D15"/>
    <mergeCell ref="E14:E15"/>
    <mergeCell ref="F14:F15"/>
    <mergeCell ref="U18:U19"/>
    <mergeCell ref="D8:U8"/>
    <mergeCell ref="C12:C13"/>
    <mergeCell ref="D12:D13"/>
    <mergeCell ref="E12:E13"/>
    <mergeCell ref="F12:F13"/>
    <mergeCell ref="H12:H13"/>
    <mergeCell ref="I12:I13"/>
    <mergeCell ref="J12:J13"/>
    <mergeCell ref="K12:K13"/>
    <mergeCell ref="R12:R13"/>
    <mergeCell ref="S12:S13"/>
    <mergeCell ref="T12:T13"/>
    <mergeCell ref="U12:U13"/>
    <mergeCell ref="L12:L13"/>
    <mergeCell ref="M12:M13"/>
    <mergeCell ref="N12:N13"/>
    <mergeCell ref="O12:O13"/>
    <mergeCell ref="P12:P13"/>
    <mergeCell ref="Q12:Q13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5" fitToHeight="3" orientation="landscape" r:id="rId1"/>
  <rowBreaks count="1" manualBreakCount="1">
    <brk id="73" min="3" max="23" man="1"/>
  </rowBreaks>
  <ignoredErrors>
    <ignoredError sqref="I46:S46 I73:O73 O72:S72 T15:T77 I47:O47 Q47:S47 Q73:S73" formula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opLeftCell="E1" zoomScaleNormal="100" zoomScaleSheetLayoutView="85" zoomScalePageLayoutView="80" workbookViewId="0">
      <selection activeCell="N12" sqref="N12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6.28515625" customWidth="1"/>
    <col min="8" max="8" width="19.140625" customWidth="1"/>
    <col min="9" max="9" width="16.7109375" style="192" customWidth="1"/>
    <col min="10" max="10" width="16.42578125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134</v>
      </c>
      <c r="H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946"/>
      <c r="H11" s="414" t="s">
        <v>91</v>
      </c>
      <c r="I11" s="415" t="s">
        <v>92</v>
      </c>
      <c r="J11" s="367" t="s">
        <v>962</v>
      </c>
      <c r="K11" s="368" t="s">
        <v>29</v>
      </c>
      <c r="L11" s="946"/>
      <c r="M11" s="947"/>
    </row>
    <row r="12" spans="1:13" ht="73.5" customHeight="1" thickTop="1" x14ac:dyDescent="0.25">
      <c r="A12" s="416">
        <v>159001</v>
      </c>
      <c r="B12" s="417">
        <v>100100</v>
      </c>
      <c r="C12" s="347" t="s">
        <v>544</v>
      </c>
      <c r="D12" s="240" t="s">
        <v>545</v>
      </c>
      <c r="E12" s="349" t="s">
        <v>190</v>
      </c>
      <c r="F12" s="139">
        <f>'EDO MEX OTE_Calendario'!F13:F13</f>
        <v>23056541.640000001</v>
      </c>
      <c r="G12" s="139">
        <v>1921378.47</v>
      </c>
      <c r="H12" s="65">
        <f ca="1">'EDO MEX OTE_Calendario'!T13</f>
        <v>17292411</v>
      </c>
      <c r="I12" s="65">
        <f>'EDO MEX OTE_Calendario'!T14</f>
        <v>15371027.760000002</v>
      </c>
      <c r="J12" s="73">
        <f ca="1">H12-I12</f>
        <v>1921383.2399999984</v>
      </c>
      <c r="K12" s="74">
        <f ca="1">+J12/H12*100</f>
        <v>11.111135630537571</v>
      </c>
      <c r="L12" s="75">
        <f ca="1">+I12/H12*100</f>
        <v>88.888864369462425</v>
      </c>
      <c r="M12" s="352" t="s">
        <v>778</v>
      </c>
    </row>
    <row r="13" spans="1:13" ht="15.75" thickBot="1" x14ac:dyDescent="0.3">
      <c r="A13" s="4"/>
      <c r="B13" s="40">
        <v>1</v>
      </c>
      <c r="C13" s="24">
        <f>COUNT(#REF!)</f>
        <v>0</v>
      </c>
      <c r="D13" s="7"/>
      <c r="E13" s="6"/>
      <c r="F13" s="32">
        <f>+F12</f>
        <v>23056541.640000001</v>
      </c>
      <c r="G13" s="32">
        <f>+G12</f>
        <v>1921378.47</v>
      </c>
      <c r="H13" s="32">
        <f ca="1">+H12</f>
        <v>17292411</v>
      </c>
      <c r="I13" s="32">
        <f>+I12</f>
        <v>15371027.760000002</v>
      </c>
      <c r="J13" s="32">
        <f ca="1">+J12</f>
        <v>1921383.2399999984</v>
      </c>
      <c r="K13" s="150">
        <f ca="1">+J13/H13*100</f>
        <v>11.111135630537571</v>
      </c>
      <c r="L13" s="151">
        <f ca="1">+I13/H13*100</f>
        <v>88.888864369462425</v>
      </c>
      <c r="M13" s="5"/>
    </row>
    <row r="14" spans="1:13" ht="31.5" customHeight="1" x14ac:dyDescent="0.25">
      <c r="F14" s="3"/>
      <c r="G14" s="3"/>
      <c r="H14" s="2"/>
      <c r="I14" s="2"/>
      <c r="J14" s="2"/>
      <c r="K14" s="2"/>
      <c r="L14" s="2"/>
      <c r="M14" s="857"/>
    </row>
    <row r="15" spans="1:13" ht="31.5" customHeight="1" x14ac:dyDescent="0.25">
      <c r="H15" s="2"/>
      <c r="I15" s="2"/>
      <c r="J15" s="2"/>
      <c r="K15" s="2"/>
      <c r="L15" s="2"/>
      <c r="M15" s="857"/>
    </row>
    <row r="16" spans="1:13" ht="31.5" customHeight="1" x14ac:dyDescent="0.25">
      <c r="I16" s="2"/>
    </row>
    <row r="17" spans="9:9" x14ac:dyDescent="0.25">
      <c r="I17" s="2"/>
    </row>
    <row r="18" spans="9:9" x14ac:dyDescent="0.25">
      <c r="I18" s="2"/>
    </row>
    <row r="19" spans="9:9" x14ac:dyDescent="0.25">
      <c r="I19" s="2"/>
    </row>
    <row r="20" spans="9:9" x14ac:dyDescent="0.25">
      <c r="I20" s="2"/>
    </row>
    <row r="21" spans="9:9" x14ac:dyDescent="0.25">
      <c r="I21" s="2"/>
    </row>
    <row r="22" spans="9:9" x14ac:dyDescent="0.25">
      <c r="I22" s="2"/>
    </row>
    <row r="23" spans="9:9" x14ac:dyDescent="0.25">
      <c r="I23" s="2"/>
    </row>
    <row r="24" spans="9:9" x14ac:dyDescent="0.25">
      <c r="I24" s="2"/>
    </row>
    <row r="25" spans="9:9" x14ac:dyDescent="0.25">
      <c r="I25" s="2"/>
    </row>
    <row r="26" spans="9:9" x14ac:dyDescent="0.25">
      <c r="I26" s="2"/>
    </row>
    <row r="27" spans="9:9" x14ac:dyDescent="0.25">
      <c r="I27" s="2"/>
    </row>
    <row r="28" spans="9:9" x14ac:dyDescent="0.25">
      <c r="I28" s="2"/>
    </row>
    <row r="29" spans="9:9" x14ac:dyDescent="0.25">
      <c r="I29" s="2"/>
    </row>
    <row r="30" spans="9:9" x14ac:dyDescent="0.25">
      <c r="I30" s="2"/>
    </row>
    <row r="31" spans="9:9" x14ac:dyDescent="0.25">
      <c r="I31" s="2"/>
    </row>
    <row r="32" spans="9:9" x14ac:dyDescent="0.25">
      <c r="I32" s="2"/>
    </row>
    <row r="33" spans="9:9" x14ac:dyDescent="0.25">
      <c r="I33" s="2"/>
    </row>
  </sheetData>
  <mergeCells count="12">
    <mergeCell ref="M10:M11"/>
    <mergeCell ref="M14:M15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7" fitToHeight="2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view="pageBreakPreview" zoomScale="85" zoomScaleNormal="100" zoomScaleSheetLayoutView="85" zoomScalePageLayoutView="80" workbookViewId="0">
      <selection activeCell="U1" sqref="U1:W1048576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6.2851562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1"/>
    </row>
    <row r="2" spans="1:21" ht="18" x14ac:dyDescent="0.25">
      <c r="F2" s="10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1" ht="18" x14ac:dyDescent="0.25">
      <c r="F3" s="10" t="s">
        <v>23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8" x14ac:dyDescent="0.25">
      <c r="F4" s="10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1" ht="18" x14ac:dyDescent="0.25">
      <c r="F5" s="10" t="s">
        <v>21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1" ht="20.25" x14ac:dyDescent="0.3">
      <c r="F6" s="14" t="s">
        <v>20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134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905" t="s">
        <v>16</v>
      </c>
      <c r="E11" s="892" t="s">
        <v>15</v>
      </c>
      <c r="F11" s="880" t="s">
        <v>26</v>
      </c>
      <c r="G11" s="880" t="s">
        <v>89</v>
      </c>
      <c r="H11" s="880" t="s">
        <v>39</v>
      </c>
      <c r="I11" s="880" t="s">
        <v>40</v>
      </c>
      <c r="J11" s="880" t="s">
        <v>41</v>
      </c>
      <c r="K11" s="880" t="s">
        <v>42</v>
      </c>
      <c r="L11" s="880" t="s">
        <v>43</v>
      </c>
      <c r="M11" s="880" t="s">
        <v>44</v>
      </c>
      <c r="N11" s="880" t="s">
        <v>45</v>
      </c>
      <c r="O11" s="880" t="s">
        <v>46</v>
      </c>
      <c r="P11" s="880" t="s">
        <v>47</v>
      </c>
      <c r="Q11" s="880" t="s">
        <v>48</v>
      </c>
      <c r="R11" s="880" t="s">
        <v>49</v>
      </c>
      <c r="S11" s="880" t="s">
        <v>50</v>
      </c>
      <c r="T11" s="880" t="s">
        <v>90</v>
      </c>
      <c r="U11" s="880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906"/>
      <c r="E12" s="967"/>
      <c r="F12" s="866"/>
      <c r="G12" s="866"/>
      <c r="H12" s="866"/>
      <c r="I12" s="866"/>
      <c r="J12" s="866"/>
      <c r="K12" s="866"/>
      <c r="L12" s="866"/>
      <c r="M12" s="866"/>
      <c r="N12" s="866"/>
      <c r="O12" s="866"/>
      <c r="P12" s="866"/>
      <c r="Q12" s="866"/>
      <c r="R12" s="866"/>
      <c r="S12" s="866"/>
      <c r="T12" s="866"/>
      <c r="U12" s="866"/>
    </row>
    <row r="13" spans="1:21" ht="34.5" customHeight="1" thickTop="1" thickBot="1" x14ac:dyDescent="0.3">
      <c r="A13" s="308">
        <v>130100</v>
      </c>
      <c r="B13" s="154">
        <v>159001</v>
      </c>
      <c r="C13" s="268" t="s">
        <v>544</v>
      </c>
      <c r="D13" s="968" t="s">
        <v>545</v>
      </c>
      <c r="E13" s="970" t="s">
        <v>364</v>
      </c>
      <c r="F13" s="922">
        <f>SUM(I13:S13)</f>
        <v>23056541.640000001</v>
      </c>
      <c r="G13" s="166" t="s">
        <v>52</v>
      </c>
      <c r="H13" s="301"/>
      <c r="I13" s="166">
        <f t="shared" ref="I13:S13" si="0">VLOOKUP($A13&amp;$B13&amp;I$10,Base,8,FALSE)</f>
        <v>0</v>
      </c>
      <c r="J13" s="301">
        <f t="shared" si="0"/>
        <v>0</v>
      </c>
      <c r="K13" s="301">
        <f t="shared" si="0"/>
        <v>5764135.4100000001</v>
      </c>
      <c r="L13" s="301">
        <f t="shared" si="0"/>
        <v>1921378.47</v>
      </c>
      <c r="M13" s="301">
        <f t="shared" si="0"/>
        <v>1921378.47</v>
      </c>
      <c r="N13" s="301">
        <f t="shared" si="0"/>
        <v>1921378.47</v>
      </c>
      <c r="O13" s="301">
        <f t="shared" si="0"/>
        <v>1921378.47</v>
      </c>
      <c r="P13" s="301">
        <f t="shared" si="0"/>
        <v>1921378.47</v>
      </c>
      <c r="Q13" s="301">
        <f t="shared" si="0"/>
        <v>1921383.24</v>
      </c>
      <c r="R13" s="301">
        <f t="shared" si="0"/>
        <v>1921379</v>
      </c>
      <c r="S13" s="301">
        <f t="shared" si="0"/>
        <v>3842751.64</v>
      </c>
      <c r="T13" s="67">
        <f ca="1">SUM($H13:(OFFSET($H13,0,AVANCE060826!$T$2)))</f>
        <v>17292411</v>
      </c>
      <c r="U13" s="410"/>
    </row>
    <row r="14" spans="1:21" ht="34.5" customHeight="1" thickTop="1" x14ac:dyDescent="0.25">
      <c r="A14" s="308">
        <v>130100</v>
      </c>
      <c r="B14" s="154">
        <v>159001</v>
      </c>
      <c r="C14" s="411"/>
      <c r="D14" s="969"/>
      <c r="E14" s="971"/>
      <c r="F14" s="972"/>
      <c r="G14" s="166" t="s">
        <v>53</v>
      </c>
      <c r="H14" s="412"/>
      <c r="I14" s="166">
        <f t="shared" ref="I14:S14" si="1">VLOOKUP($A14&amp;$B14&amp;I$10,Base,9,FALSE)</f>
        <v>0</v>
      </c>
      <c r="J14" s="413">
        <f t="shared" si="1"/>
        <v>0</v>
      </c>
      <c r="K14" s="166">
        <f t="shared" si="1"/>
        <v>5764135.4100000001</v>
      </c>
      <c r="L14" s="413">
        <f t="shared" si="1"/>
        <v>1921378.47</v>
      </c>
      <c r="M14" s="413">
        <f t="shared" si="1"/>
        <v>1921378.47</v>
      </c>
      <c r="N14" s="301">
        <f t="shared" si="1"/>
        <v>1921378.47</v>
      </c>
      <c r="O14" s="413">
        <f t="shared" si="1"/>
        <v>1921378.47</v>
      </c>
      <c r="P14" s="413">
        <f t="shared" si="1"/>
        <v>1921378.47</v>
      </c>
      <c r="Q14" s="413">
        <f t="shared" si="1"/>
        <v>0</v>
      </c>
      <c r="R14" s="413">
        <f t="shared" si="1"/>
        <v>0</v>
      </c>
      <c r="S14" s="166">
        <f t="shared" si="1"/>
        <v>0</v>
      </c>
      <c r="T14" s="67">
        <f>SUM(H14:S14)</f>
        <v>15371027.760000002</v>
      </c>
      <c r="U14" s="410"/>
    </row>
    <row r="15" spans="1:21" ht="31.5" customHeight="1" x14ac:dyDescent="0.25">
      <c r="F15" s="3"/>
      <c r="G15" s="166" t="s">
        <v>52</v>
      </c>
      <c r="H15" s="186">
        <f>+H13</f>
        <v>0</v>
      </c>
      <c r="I15" s="186">
        <f t="shared" ref="I15:T15" si="2">+I13</f>
        <v>0</v>
      </c>
      <c r="J15" s="186">
        <f t="shared" si="2"/>
        <v>0</v>
      </c>
      <c r="K15" s="186">
        <f t="shared" si="2"/>
        <v>5764135.4100000001</v>
      </c>
      <c r="L15" s="186">
        <f t="shared" si="2"/>
        <v>1921378.47</v>
      </c>
      <c r="M15" s="186">
        <f t="shared" si="2"/>
        <v>1921378.47</v>
      </c>
      <c r="N15" s="186">
        <f t="shared" ref="N15:S15" si="3">+N13</f>
        <v>1921378.47</v>
      </c>
      <c r="O15" s="186">
        <f t="shared" si="3"/>
        <v>1921378.47</v>
      </c>
      <c r="P15" s="186">
        <f t="shared" si="3"/>
        <v>1921378.47</v>
      </c>
      <c r="Q15" s="186">
        <f t="shared" si="3"/>
        <v>1921383.24</v>
      </c>
      <c r="R15" s="186">
        <f t="shared" si="3"/>
        <v>1921379</v>
      </c>
      <c r="S15" s="186">
        <f t="shared" si="3"/>
        <v>3842751.64</v>
      </c>
      <c r="T15" s="186">
        <f t="shared" ca="1" si="2"/>
        <v>17292411</v>
      </c>
      <c r="U15" s="857"/>
    </row>
    <row r="16" spans="1:21" ht="31.5" customHeight="1" x14ac:dyDescent="0.25">
      <c r="G16" s="166" t="s">
        <v>53</v>
      </c>
      <c r="H16" s="186">
        <f t="shared" ref="H16:T16" si="4">+H14</f>
        <v>0</v>
      </c>
      <c r="I16" s="186">
        <f t="shared" si="4"/>
        <v>0</v>
      </c>
      <c r="J16" s="186">
        <f t="shared" si="4"/>
        <v>0</v>
      </c>
      <c r="K16" s="186">
        <f t="shared" si="4"/>
        <v>5764135.4100000001</v>
      </c>
      <c r="L16" s="186">
        <f t="shared" si="4"/>
        <v>1921378.47</v>
      </c>
      <c r="M16" s="186">
        <f t="shared" si="4"/>
        <v>1921378.47</v>
      </c>
      <c r="N16" s="186">
        <f t="shared" ref="N16:S16" si="5">+N14</f>
        <v>1921378.47</v>
      </c>
      <c r="O16" s="186">
        <f t="shared" si="5"/>
        <v>1921378.47</v>
      </c>
      <c r="P16" s="186">
        <f t="shared" si="5"/>
        <v>1921378.47</v>
      </c>
      <c r="Q16" s="186">
        <f t="shared" si="5"/>
        <v>0</v>
      </c>
      <c r="R16" s="186">
        <f t="shared" si="5"/>
        <v>0</v>
      </c>
      <c r="S16" s="186">
        <f t="shared" si="5"/>
        <v>0</v>
      </c>
      <c r="T16" s="186">
        <f t="shared" si="4"/>
        <v>15371027.760000002</v>
      </c>
      <c r="U16" s="857"/>
    </row>
    <row r="17" spans="20:20" ht="31.5" customHeight="1" x14ac:dyDescent="0.25">
      <c r="T17" s="9"/>
    </row>
    <row r="18" spans="20:20" x14ac:dyDescent="0.25">
      <c r="T18" s="9"/>
    </row>
  </sheetData>
  <mergeCells count="24">
    <mergeCell ref="D13:D14"/>
    <mergeCell ref="E13:E14"/>
    <mergeCell ref="F13:F14"/>
    <mergeCell ref="U15:U16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6" fitToHeight="2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zoomScaleNormal="100" zoomScaleSheetLayoutView="80" zoomScalePageLayoutView="80" workbookViewId="0">
      <pane xSplit="3" ySplit="11" topLeftCell="E21" activePane="bottomRight" state="frozen"/>
      <selection pane="topRight" activeCell="D1" sqref="D1"/>
      <selection pane="bottomLeft" activeCell="A12" sqref="A12"/>
      <selection pane="bottomRight" activeCell="N13" sqref="N13:N21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7.28515625" customWidth="1"/>
    <col min="8" max="8" width="19.140625" customWidth="1"/>
    <col min="9" max="9" width="16.7109375" style="192" customWidth="1"/>
    <col min="10" max="10" width="15.7109375" customWidth="1"/>
    <col min="11" max="11" width="13.140625" hidden="1" customWidth="1"/>
    <col min="12" max="12" width="10.28515625" hidden="1" customWidth="1"/>
    <col min="13" max="13" width="47.140625" customWidth="1"/>
    <col min="14" max="14" width="7.5703125" customWidth="1"/>
    <col min="15" max="15" width="28" customWidth="1"/>
    <col min="16" max="16" width="20.7109375" customWidth="1"/>
    <col min="17" max="17" width="15.140625" customWidth="1"/>
    <col min="18" max="18" width="14.42578125" customWidth="1"/>
    <col min="19" max="19" width="14.7109375" customWidth="1"/>
    <col min="20" max="16365" width="11.42578125" customWidth="1"/>
  </cols>
  <sheetData>
    <row r="1" spans="1:18" ht="18" x14ac:dyDescent="0.25">
      <c r="D1" s="10" t="s">
        <v>25</v>
      </c>
      <c r="M1" s="11"/>
    </row>
    <row r="2" spans="1:18" ht="18" x14ac:dyDescent="0.25">
      <c r="D2" s="10" t="s">
        <v>24</v>
      </c>
    </row>
    <row r="3" spans="1:18" ht="18" x14ac:dyDescent="0.25">
      <c r="D3" s="10" t="s">
        <v>23</v>
      </c>
    </row>
    <row r="4" spans="1:18" ht="18" x14ac:dyDescent="0.25">
      <c r="D4" s="10" t="s">
        <v>22</v>
      </c>
      <c r="K4" s="9"/>
      <c r="L4" s="9"/>
    </row>
    <row r="5" spans="1:18" ht="18" x14ac:dyDescent="0.25">
      <c r="D5" s="10" t="s">
        <v>21</v>
      </c>
    </row>
    <row r="6" spans="1:18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8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8" ht="18" x14ac:dyDescent="0.25">
      <c r="D8" s="39" t="s">
        <v>31</v>
      </c>
      <c r="E8" s="10" t="s">
        <v>135</v>
      </c>
      <c r="H8" s="9"/>
    </row>
    <row r="9" spans="1:18" ht="15.75" thickBot="1" x14ac:dyDescent="0.3">
      <c r="F9" s="9"/>
      <c r="G9" s="9"/>
      <c r="O9">
        <f>69600*12</f>
        <v>835200</v>
      </c>
    </row>
    <row r="10" spans="1:18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50" t="s">
        <v>26</v>
      </c>
      <c r="G10" s="837" t="s">
        <v>215</v>
      </c>
      <c r="H10" s="835" t="s">
        <v>90</v>
      </c>
      <c r="I10" s="836"/>
      <c r="J10" s="828" t="s">
        <v>27</v>
      </c>
      <c r="K10" s="850"/>
      <c r="L10" s="837" t="s">
        <v>28</v>
      </c>
      <c r="M10" s="839" t="s">
        <v>14</v>
      </c>
    </row>
    <row r="11" spans="1:18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973"/>
      <c r="G11" s="838"/>
      <c r="H11" s="72" t="s">
        <v>91</v>
      </c>
      <c r="I11" s="429" t="s">
        <v>92</v>
      </c>
      <c r="J11" s="58" t="s">
        <v>962</v>
      </c>
      <c r="K11" s="71" t="s">
        <v>29</v>
      </c>
      <c r="L11" s="838"/>
      <c r="M11" s="841"/>
    </row>
    <row r="12" spans="1:18" ht="69.75" hidden="1" customHeight="1" thickTop="1" x14ac:dyDescent="0.25">
      <c r="A12" s="418" t="s">
        <v>546</v>
      </c>
      <c r="B12" s="417">
        <v>200200</v>
      </c>
      <c r="C12" s="419" t="s">
        <v>547</v>
      </c>
      <c r="D12" s="240" t="s">
        <v>548</v>
      </c>
      <c r="E12" s="430" t="s">
        <v>549</v>
      </c>
      <c r="F12" s="431"/>
      <c r="G12" s="351"/>
      <c r="H12" s="73"/>
      <c r="I12" s="74"/>
      <c r="J12" s="65">
        <f>+I12-H12</f>
        <v>0</v>
      </c>
      <c r="K12" s="129" t="e">
        <f>+J12/H12*100</f>
        <v>#DIV/0!</v>
      </c>
      <c r="L12" s="75" t="e">
        <f>+I12/H12*100</f>
        <v>#DIV/0!</v>
      </c>
      <c r="M12" s="352"/>
    </row>
    <row r="13" spans="1:18" ht="46.5" customHeight="1" thickTop="1" x14ac:dyDescent="0.25">
      <c r="A13" s="158" t="s">
        <v>550</v>
      </c>
      <c r="B13" s="311">
        <v>200200</v>
      </c>
      <c r="C13" s="344" t="s">
        <v>551</v>
      </c>
      <c r="D13" s="240" t="s">
        <v>552</v>
      </c>
      <c r="E13" s="430" t="s">
        <v>553</v>
      </c>
      <c r="F13" s="431">
        <f>'EDO MEX PTE_Calendario'!F15:F15</f>
        <v>185568</v>
      </c>
      <c r="G13" s="351">
        <f t="shared" ref="G13:G18" si="0">+F13/12</f>
        <v>15464</v>
      </c>
      <c r="H13" s="432">
        <f ca="1">'EDO MEX PTE_Calendario'!T15</f>
        <v>139176</v>
      </c>
      <c r="I13" s="432">
        <f>'EDO MEX PTE_Calendario'!T16</f>
        <v>123705.12</v>
      </c>
      <c r="J13" s="65">
        <f ca="1">+I13-H13</f>
        <v>-15470.880000000005</v>
      </c>
      <c r="K13" s="129">
        <f ca="1">+J13/H13*100</f>
        <v>-11.116054492153824</v>
      </c>
      <c r="L13" s="75">
        <f ca="1">+I13/H13*100</f>
        <v>88.883945507846178</v>
      </c>
      <c r="M13" s="352" t="s">
        <v>572</v>
      </c>
      <c r="O13" s="252">
        <v>1</v>
      </c>
      <c r="P13" s="279">
        <f>69600/1.16</f>
        <v>60000.000000000007</v>
      </c>
      <c r="Q13" s="279">
        <f>+P13*0.16</f>
        <v>9600.0000000000018</v>
      </c>
      <c r="R13" s="280">
        <f>+Q13+P13</f>
        <v>69600.000000000015</v>
      </c>
    </row>
    <row r="14" spans="1:18" ht="60.75" customHeight="1" x14ac:dyDescent="0.25">
      <c r="A14" s="420" t="s">
        <v>554</v>
      </c>
      <c r="B14" s="346">
        <v>200200</v>
      </c>
      <c r="C14" s="267" t="s">
        <v>555</v>
      </c>
      <c r="D14" s="240" t="s">
        <v>556</v>
      </c>
      <c r="E14" s="433" t="s">
        <v>557</v>
      </c>
      <c r="F14" s="431">
        <f>'EDO MEX PTE_Calendario'!F17</f>
        <v>793440</v>
      </c>
      <c r="G14" s="351">
        <f t="shared" si="0"/>
        <v>66120</v>
      </c>
      <c r="H14" s="432">
        <f ca="1">'EDO MEX PTE_Calendario'!T17</f>
        <v>595080</v>
      </c>
      <c r="I14" s="432">
        <f>'EDO MEX PTE_Calendario'!T18</f>
        <v>462838.67</v>
      </c>
      <c r="J14" s="65">
        <f ca="1">+I14-H14</f>
        <v>-132241.33000000002</v>
      </c>
      <c r="K14" s="129">
        <f ca="1">+J14/H14*100</f>
        <v>-22.222445721583657</v>
      </c>
      <c r="L14" s="75">
        <f ca="1">+I14/H14*100</f>
        <v>77.777554278416346</v>
      </c>
      <c r="M14" s="352" t="s">
        <v>572</v>
      </c>
      <c r="O14" s="252">
        <f>+O13+1</f>
        <v>2</v>
      </c>
      <c r="P14" s="279">
        <f t="shared" ref="P14:P24" si="1">69600/1.16</f>
        <v>60000.000000000007</v>
      </c>
      <c r="Q14" s="279">
        <f t="shared" ref="Q14:Q24" si="2">+P14*0.16</f>
        <v>9600.0000000000018</v>
      </c>
      <c r="R14" s="280">
        <f t="shared" ref="R14:R24" si="3">+Q14+P14</f>
        <v>69600.000000000015</v>
      </c>
    </row>
    <row r="15" spans="1:18" ht="96" customHeight="1" x14ac:dyDescent="0.25">
      <c r="A15" s="158">
        <v>169001</v>
      </c>
      <c r="B15" s="311"/>
      <c r="C15" s="419" t="s">
        <v>547</v>
      </c>
      <c r="D15" s="240" t="s">
        <v>558</v>
      </c>
      <c r="E15" s="433" t="s">
        <v>559</v>
      </c>
      <c r="F15" s="431">
        <f>'EDO MEX PTE_Calendario'!F19</f>
        <v>1740000</v>
      </c>
      <c r="G15" s="351">
        <f>125000*1.16</f>
        <v>145000</v>
      </c>
      <c r="H15" s="432">
        <f ca="1">'EDO MEX PTE_Calendario'!T19</f>
        <v>1305000</v>
      </c>
      <c r="I15" s="432">
        <f>'EDO MEX PTE_Calendario'!T20</f>
        <v>1160000</v>
      </c>
      <c r="J15" s="65">
        <f ca="1">+I15-H15</f>
        <v>-145000</v>
      </c>
      <c r="K15" s="129">
        <f t="shared" ref="K15:K21" ca="1" si="4">+J15/H15*100</f>
        <v>-11.111111111111111</v>
      </c>
      <c r="L15" s="75">
        <f t="shared" ref="L15:L21" ca="1" si="5">+I15/H15*100</f>
        <v>88.888888888888886</v>
      </c>
      <c r="M15" s="352" t="s">
        <v>976</v>
      </c>
      <c r="O15" s="252">
        <f t="shared" ref="O15:O24" si="6">+O14+1</f>
        <v>3</v>
      </c>
      <c r="P15" s="279">
        <f t="shared" si="1"/>
        <v>60000.000000000007</v>
      </c>
      <c r="Q15" s="279">
        <f t="shared" si="2"/>
        <v>9600.0000000000018</v>
      </c>
      <c r="R15" s="280">
        <f t="shared" si="3"/>
        <v>69600.000000000015</v>
      </c>
    </row>
    <row r="16" spans="1:18" ht="60" customHeight="1" x14ac:dyDescent="0.25">
      <c r="A16" s="158">
        <v>169001</v>
      </c>
      <c r="B16" s="311">
        <v>400100</v>
      </c>
      <c r="C16" s="422" t="s">
        <v>560</v>
      </c>
      <c r="D16" s="240" t="s">
        <v>561</v>
      </c>
      <c r="E16" s="433" t="s">
        <v>562</v>
      </c>
      <c r="F16" s="431">
        <f>'EDO MEX PTE_Calendario'!F21</f>
        <v>835200</v>
      </c>
      <c r="G16" s="351">
        <f t="shared" si="0"/>
        <v>69600</v>
      </c>
      <c r="H16" s="432">
        <f ca="1">'EDO MEX PTE_Calendario'!T21</f>
        <v>626400</v>
      </c>
      <c r="I16" s="432">
        <f>'EDO MEX PTE_Calendario'!T22</f>
        <v>556799.68000000005</v>
      </c>
      <c r="J16" s="65">
        <f ca="1">H16-I16</f>
        <v>69600.319999999949</v>
      </c>
      <c r="K16" s="129">
        <f t="shared" ca="1" si="4"/>
        <v>11.11116219667943</v>
      </c>
      <c r="L16" s="75">
        <f t="shared" ca="1" si="5"/>
        <v>88.88883780332057</v>
      </c>
      <c r="M16" s="352" t="s">
        <v>572</v>
      </c>
      <c r="O16" s="252" t="e">
        <f>+#REF!+1</f>
        <v>#REF!</v>
      </c>
      <c r="P16" s="279">
        <f t="shared" si="1"/>
        <v>60000.000000000007</v>
      </c>
      <c r="Q16" s="279">
        <f t="shared" si="2"/>
        <v>9600.0000000000018</v>
      </c>
      <c r="R16" s="280">
        <f t="shared" si="3"/>
        <v>69600.000000000015</v>
      </c>
    </row>
    <row r="17" spans="1:19" ht="75" customHeight="1" x14ac:dyDescent="0.25">
      <c r="A17" s="420" t="s">
        <v>563</v>
      </c>
      <c r="B17" s="346">
        <v>380200</v>
      </c>
      <c r="C17" s="347" t="s">
        <v>547</v>
      </c>
      <c r="D17" s="240" t="s">
        <v>564</v>
      </c>
      <c r="E17" s="433" t="s">
        <v>196</v>
      </c>
      <c r="F17" s="431">
        <f>'EDO MEX PTE_Calendario'!F23</f>
        <v>1322400</v>
      </c>
      <c r="G17" s="351">
        <f t="shared" si="0"/>
        <v>110200</v>
      </c>
      <c r="H17" s="432">
        <f ca="1">'EDO MEX PTE_Calendario'!T23</f>
        <v>991800</v>
      </c>
      <c r="I17" s="432">
        <f>'EDO MEX PTE_Calendario'!T24</f>
        <v>881599.52</v>
      </c>
      <c r="J17" s="65">
        <f t="shared" ref="J17:J22" ca="1" si="7">H17-I17</f>
        <v>110200.47999999998</v>
      </c>
      <c r="K17" s="129">
        <f t="shared" ca="1" si="4"/>
        <v>11.111159507965313</v>
      </c>
      <c r="L17" s="75">
        <f t="shared" ca="1" si="5"/>
        <v>88.888840492034689</v>
      </c>
      <c r="M17" s="352" t="s">
        <v>976</v>
      </c>
      <c r="O17" s="252" t="e">
        <f t="shared" si="6"/>
        <v>#REF!</v>
      </c>
      <c r="P17" s="279">
        <f t="shared" si="1"/>
        <v>60000.000000000007</v>
      </c>
      <c r="Q17" s="279">
        <f t="shared" si="2"/>
        <v>9600.0000000000018</v>
      </c>
      <c r="R17" s="280">
        <f t="shared" si="3"/>
        <v>69600.000000000015</v>
      </c>
    </row>
    <row r="18" spans="1:19" ht="60" customHeight="1" x14ac:dyDescent="0.25">
      <c r="A18" s="424" t="s">
        <v>565</v>
      </c>
      <c r="B18" s="346">
        <v>920201</v>
      </c>
      <c r="C18" s="423" t="s">
        <v>560</v>
      </c>
      <c r="D18" s="240" t="s">
        <v>566</v>
      </c>
      <c r="E18" s="433" t="s">
        <v>210</v>
      </c>
      <c r="F18" s="431">
        <f>'EDO MEX PTE_Calendario'!F25</f>
        <v>365400</v>
      </c>
      <c r="G18" s="351">
        <f t="shared" si="0"/>
        <v>30450</v>
      </c>
      <c r="H18" s="432">
        <f ca="1">'EDO MEX PTE_Calendario'!T25</f>
        <v>274050</v>
      </c>
      <c r="I18" s="432">
        <f>'EDO MEX PTE_Calendario'!T26</f>
        <v>243591.44</v>
      </c>
      <c r="J18" s="65">
        <f t="shared" ca="1" si="7"/>
        <v>30458.559999999998</v>
      </c>
      <c r="K18" s="129">
        <f t="shared" ca="1" si="4"/>
        <v>11.114234628717387</v>
      </c>
      <c r="L18" s="75">
        <f t="shared" ca="1" si="5"/>
        <v>88.885765371282616</v>
      </c>
      <c r="M18" s="352" t="s">
        <v>976</v>
      </c>
      <c r="O18" s="252" t="e">
        <f t="shared" si="6"/>
        <v>#REF!</v>
      </c>
      <c r="P18" s="279">
        <f t="shared" si="1"/>
        <v>60000.000000000007</v>
      </c>
      <c r="Q18" s="279">
        <f t="shared" si="2"/>
        <v>9600.0000000000018</v>
      </c>
      <c r="R18" s="280">
        <f t="shared" si="3"/>
        <v>69600.000000000015</v>
      </c>
    </row>
    <row r="19" spans="1:19" ht="74.25" customHeight="1" x14ac:dyDescent="0.25">
      <c r="A19" s="426" t="s">
        <v>567</v>
      </c>
      <c r="B19" s="372" t="s">
        <v>568</v>
      </c>
      <c r="C19" s="182" t="s">
        <v>544</v>
      </c>
      <c r="D19" s="240" t="s">
        <v>569</v>
      </c>
      <c r="E19" s="433" t="s">
        <v>190</v>
      </c>
      <c r="F19" s="431">
        <f>'EDO MEX PTE_Calendario'!F27</f>
        <v>12806400</v>
      </c>
      <c r="G19" s="351">
        <v>1067200</v>
      </c>
      <c r="H19" s="432">
        <f ca="1">'EDO MEX PTE_Calendario'!T27</f>
        <v>9604800</v>
      </c>
      <c r="I19" s="432">
        <f>'EDO MEX PTE_Calendario'!T28</f>
        <v>8537600</v>
      </c>
      <c r="J19" s="65">
        <f t="shared" ca="1" si="7"/>
        <v>1067200</v>
      </c>
      <c r="K19" s="129">
        <f t="shared" ca="1" si="4"/>
        <v>11.111111111111111</v>
      </c>
      <c r="L19" s="75">
        <f t="shared" ca="1" si="5"/>
        <v>88.888888888888886</v>
      </c>
      <c r="M19" s="352" t="s">
        <v>976</v>
      </c>
      <c r="O19" s="252"/>
      <c r="P19" s="279"/>
      <c r="Q19" s="279"/>
      <c r="R19" s="280"/>
    </row>
    <row r="20" spans="1:19" ht="74.25" customHeight="1" thickBot="1" x14ac:dyDescent="0.3">
      <c r="A20" s="427" t="s">
        <v>567</v>
      </c>
      <c r="B20" s="428">
        <v>50100</v>
      </c>
      <c r="C20" s="184" t="s">
        <v>544</v>
      </c>
      <c r="D20" s="212" t="s">
        <v>570</v>
      </c>
      <c r="E20" s="435" t="s">
        <v>180</v>
      </c>
      <c r="F20" s="431">
        <f>'EDO MEX PTE_Calendario'!F29</f>
        <v>270000</v>
      </c>
      <c r="G20" s="130">
        <f>+F20/12</f>
        <v>22500</v>
      </c>
      <c r="H20" s="432">
        <f ca="1">'EDO MEX PTE_Calendario'!T29</f>
        <v>202500</v>
      </c>
      <c r="I20" s="432">
        <f>'EDO MEX PTE_Calendario'!T30</f>
        <v>180000</v>
      </c>
      <c r="J20" s="285">
        <f t="shared" ca="1" si="7"/>
        <v>22500</v>
      </c>
      <c r="K20" s="286">
        <f t="shared" ca="1" si="4"/>
        <v>11.111111111111111</v>
      </c>
      <c r="L20" s="404">
        <f t="shared" ca="1" si="5"/>
        <v>88.888888888888886</v>
      </c>
      <c r="M20" s="352" t="s">
        <v>976</v>
      </c>
      <c r="O20" s="252"/>
      <c r="P20" s="279"/>
      <c r="Q20" s="279"/>
      <c r="R20" s="280"/>
    </row>
    <row r="21" spans="1:19" ht="75" customHeight="1" thickBot="1" x14ac:dyDescent="0.3">
      <c r="A21" s="427" t="s">
        <v>574</v>
      </c>
      <c r="B21" s="428" t="s">
        <v>575</v>
      </c>
      <c r="C21" s="184" t="s">
        <v>544</v>
      </c>
      <c r="D21" s="212" t="s">
        <v>571</v>
      </c>
      <c r="E21" s="435" t="s">
        <v>255</v>
      </c>
      <c r="F21" s="431">
        <f>'EDO MEX PTE_Calendario'!F31</f>
        <v>294000</v>
      </c>
      <c r="G21" s="130">
        <f>F21/12</f>
        <v>24500</v>
      </c>
      <c r="H21" s="432">
        <f ca="1">'EDO MEX PTE_Calendario'!T31</f>
        <v>220500</v>
      </c>
      <c r="I21" s="432">
        <f>'EDO MEX PTE_Calendario'!T32</f>
        <v>195999.91999999998</v>
      </c>
      <c r="J21" s="285">
        <f t="shared" ca="1" si="7"/>
        <v>24500.080000000016</v>
      </c>
      <c r="K21" s="286">
        <f t="shared" ca="1" si="4"/>
        <v>11.111147392290256</v>
      </c>
      <c r="L21" s="404">
        <f t="shared" ca="1" si="5"/>
        <v>88.888852607709751</v>
      </c>
      <c r="M21" s="352" t="s">
        <v>976</v>
      </c>
      <c r="O21" s="252"/>
      <c r="P21" s="279">
        <f t="shared" si="1"/>
        <v>60000.000000000007</v>
      </c>
      <c r="Q21" s="279">
        <f t="shared" si="2"/>
        <v>9600.0000000000018</v>
      </c>
      <c r="R21" s="280">
        <f t="shared" si="3"/>
        <v>69600.000000000015</v>
      </c>
    </row>
    <row r="22" spans="1:19" ht="15.75" thickBot="1" x14ac:dyDescent="0.3">
      <c r="A22" s="4"/>
      <c r="B22" s="40">
        <v>9</v>
      </c>
      <c r="C22" s="24">
        <f>COUNT(#REF!)</f>
        <v>0</v>
      </c>
      <c r="D22" s="7"/>
      <c r="E22" s="6"/>
      <c r="F22" s="32">
        <f>SUM(F12:F21)</f>
        <v>18612408</v>
      </c>
      <c r="G22" s="215">
        <f>SUM(G12:G21)</f>
        <v>1551034</v>
      </c>
      <c r="H22" s="287">
        <f ca="1">SUM(H12:H21)</f>
        <v>13959306</v>
      </c>
      <c r="I22" s="32">
        <f>SUM(I12:I21)</f>
        <v>12342134.35</v>
      </c>
      <c r="J22" s="32">
        <f t="shared" ca="1" si="7"/>
        <v>1617171.6500000004</v>
      </c>
      <c r="K22" s="57">
        <f ca="1">+J22/H22*100</f>
        <v>11.58490006594884</v>
      </c>
      <c r="L22" s="151">
        <f ca="1">+I22/H22*100</f>
        <v>88.415099934051156</v>
      </c>
      <c r="M22" s="5"/>
      <c r="O22" s="252">
        <f t="shared" si="6"/>
        <v>1</v>
      </c>
      <c r="P22" s="279">
        <f t="shared" si="1"/>
        <v>60000.000000000007</v>
      </c>
      <c r="Q22" s="279">
        <f t="shared" si="2"/>
        <v>9600.0000000000018</v>
      </c>
      <c r="R22" s="280">
        <f t="shared" si="3"/>
        <v>69600.000000000015</v>
      </c>
    </row>
    <row r="23" spans="1:19" ht="31.5" customHeight="1" x14ac:dyDescent="0.25">
      <c r="F23" s="3"/>
      <c r="G23" s="3"/>
      <c r="H23" s="2"/>
      <c r="I23" s="2"/>
      <c r="J23" s="2"/>
      <c r="K23" s="2"/>
      <c r="L23" s="2"/>
      <c r="M23" s="857"/>
      <c r="O23" s="252">
        <f t="shared" si="6"/>
        <v>2</v>
      </c>
      <c r="P23" s="279">
        <f t="shared" si="1"/>
        <v>60000.000000000007</v>
      </c>
      <c r="Q23" s="279">
        <f t="shared" si="2"/>
        <v>9600.0000000000018</v>
      </c>
      <c r="R23" s="280">
        <f t="shared" si="3"/>
        <v>69600.000000000015</v>
      </c>
    </row>
    <row r="24" spans="1:19" ht="31.5" customHeight="1" x14ac:dyDescent="0.25">
      <c r="F24" s="9"/>
      <c r="G24" s="9"/>
      <c r="H24" s="2"/>
      <c r="I24" s="2"/>
      <c r="J24" s="2"/>
      <c r="K24" s="2"/>
      <c r="L24" s="2"/>
      <c r="M24" s="857"/>
      <c r="O24" s="252">
        <f t="shared" si="6"/>
        <v>3</v>
      </c>
      <c r="P24" s="279">
        <f t="shared" si="1"/>
        <v>60000.000000000007</v>
      </c>
      <c r="Q24" s="279">
        <f t="shared" si="2"/>
        <v>9600.0000000000018</v>
      </c>
      <c r="R24" s="280">
        <f t="shared" si="3"/>
        <v>69600.000000000015</v>
      </c>
    </row>
    <row r="25" spans="1:19" ht="31.5" customHeight="1" x14ac:dyDescent="0.25">
      <c r="F25" s="9"/>
      <c r="G25" s="9"/>
      <c r="I25" s="2"/>
      <c r="P25" s="9">
        <f>SUM(P13:P24)</f>
        <v>600000.00000000012</v>
      </c>
      <c r="Q25" s="9">
        <f>SUM(Q13:Q24)</f>
        <v>96000.000000000015</v>
      </c>
      <c r="R25" s="9">
        <f>SUM(R13:R24)</f>
        <v>696000.00000000012</v>
      </c>
      <c r="S25" s="9"/>
    </row>
    <row r="26" spans="1:19" x14ac:dyDescent="0.25">
      <c r="I26" s="2"/>
    </row>
    <row r="27" spans="1:19" x14ac:dyDescent="0.25">
      <c r="I27" s="2"/>
      <c r="R27" s="9"/>
      <c r="S27" s="192"/>
    </row>
    <row r="28" spans="1:19" x14ac:dyDescent="0.25">
      <c r="I28" s="2"/>
    </row>
    <row r="29" spans="1:19" x14ac:dyDescent="0.25">
      <c r="I29" s="2"/>
    </row>
    <row r="30" spans="1:19" x14ac:dyDescent="0.25">
      <c r="I30" s="2"/>
    </row>
    <row r="31" spans="1:19" x14ac:dyDescent="0.25">
      <c r="I31" s="2"/>
    </row>
    <row r="32" spans="1:19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  <row r="36" spans="9:9" x14ac:dyDescent="0.25">
      <c r="I36" s="2"/>
    </row>
    <row r="37" spans="9:9" x14ac:dyDescent="0.25">
      <c r="I37" s="2"/>
    </row>
    <row r="38" spans="9:9" x14ac:dyDescent="0.25">
      <c r="I38" s="2"/>
    </row>
    <row r="39" spans="9:9" x14ac:dyDescent="0.25">
      <c r="I39" s="2"/>
    </row>
    <row r="40" spans="9:9" x14ac:dyDescent="0.25">
      <c r="I40" s="2"/>
    </row>
    <row r="41" spans="9:9" x14ac:dyDescent="0.25">
      <c r="I41" s="2"/>
    </row>
    <row r="42" spans="9:9" x14ac:dyDescent="0.25">
      <c r="I42" s="2"/>
    </row>
  </sheetData>
  <mergeCells count="12">
    <mergeCell ref="M10:M11"/>
    <mergeCell ref="M23:M24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2" fitToHeight="2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view="pageBreakPreview" zoomScale="70" zoomScaleNormal="100" zoomScaleSheetLayoutView="70" zoomScalePageLayoutView="80" workbookViewId="0">
      <pane xSplit="5" ySplit="12" topLeftCell="F16" activePane="bottomRight" state="frozen"/>
      <selection pane="topRight" activeCell="F1" sqref="F1"/>
      <selection pane="bottomLeft" activeCell="A12" sqref="A12"/>
      <selection pane="bottomRight" activeCell="L16" sqref="L16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21" customWidth="1"/>
    <col min="7" max="7" width="17.28515625" customWidth="1"/>
    <col min="8" max="8" width="19.5703125" customWidth="1"/>
    <col min="9" max="10" width="19.140625" bestFit="1" customWidth="1"/>
    <col min="11" max="11" width="20.140625" customWidth="1"/>
    <col min="12" max="12" width="20.5703125" customWidth="1"/>
    <col min="13" max="13" width="19.140625" bestFit="1" customWidth="1"/>
    <col min="14" max="16" width="18.7109375" customWidth="1"/>
    <col min="17" max="17" width="18.28515625" customWidth="1"/>
    <col min="18" max="19" width="17.28515625" customWidth="1"/>
    <col min="20" max="20" width="21.8554687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135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F10" s="9"/>
      <c r="G10" s="9"/>
      <c r="H10" s="9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153"/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153" t="s">
        <v>51</v>
      </c>
      <c r="U12" s="877"/>
    </row>
    <row r="13" spans="1:21" ht="69.75" hidden="1" customHeight="1" thickTop="1" thickBot="1" x14ac:dyDescent="0.3">
      <c r="A13" s="417">
        <v>200200</v>
      </c>
      <c r="B13" s="418" t="s">
        <v>546</v>
      </c>
      <c r="C13" s="419" t="s">
        <v>547</v>
      </c>
      <c r="D13" s="873" t="s">
        <v>548</v>
      </c>
      <c r="E13" s="974" t="s">
        <v>549</v>
      </c>
      <c r="F13" s="922"/>
      <c r="G13" s="166" t="s">
        <v>52</v>
      </c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85">
        <f>SUM(H13:S13)</f>
        <v>0</v>
      </c>
      <c r="U13" s="903"/>
    </row>
    <row r="14" spans="1:21" ht="69.75" hidden="1" customHeight="1" thickTop="1" x14ac:dyDescent="0.25">
      <c r="A14" s="417">
        <v>200200</v>
      </c>
      <c r="B14" s="418" t="s">
        <v>546</v>
      </c>
      <c r="C14" s="419"/>
      <c r="D14" s="873"/>
      <c r="E14" s="975"/>
      <c r="F14" s="972"/>
      <c r="G14" s="166" t="s">
        <v>53</v>
      </c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85">
        <f t="shared" ref="T14:T32" si="0">SUM(H14:S14)</f>
        <v>0</v>
      </c>
      <c r="U14" s="903"/>
    </row>
    <row r="15" spans="1:21" ht="46.5" customHeight="1" thickTop="1" x14ac:dyDescent="0.25">
      <c r="A15" s="311">
        <v>200200</v>
      </c>
      <c r="B15" s="158">
        <v>162436</v>
      </c>
      <c r="C15" s="344" t="s">
        <v>551</v>
      </c>
      <c r="D15" s="968" t="s">
        <v>552</v>
      </c>
      <c r="E15" s="974" t="s">
        <v>553</v>
      </c>
      <c r="F15" s="922">
        <f>SUM(I15:S15)</f>
        <v>185568</v>
      </c>
      <c r="G15" s="166" t="s">
        <v>52</v>
      </c>
      <c r="H15" s="166"/>
      <c r="I15" s="166">
        <f t="shared" ref="I15:S15" si="1">VLOOKUP($A15&amp;$B15&amp;I$10,Base,8,FALSE)</f>
        <v>0</v>
      </c>
      <c r="J15" s="166">
        <f t="shared" si="1"/>
        <v>30926.28</v>
      </c>
      <c r="K15" s="166">
        <f t="shared" si="1"/>
        <v>15463.14</v>
      </c>
      <c r="L15" s="166">
        <f t="shared" si="1"/>
        <v>15463.14</v>
      </c>
      <c r="M15" s="166">
        <f t="shared" si="1"/>
        <v>15463.14</v>
      </c>
      <c r="N15" s="166">
        <f t="shared" si="1"/>
        <v>15463.14</v>
      </c>
      <c r="O15" s="166">
        <f t="shared" si="1"/>
        <v>15463.14</v>
      </c>
      <c r="P15" s="166">
        <f t="shared" si="1"/>
        <v>0</v>
      </c>
      <c r="Q15" s="166">
        <f t="shared" si="1"/>
        <v>30934.02</v>
      </c>
      <c r="R15" s="166">
        <f t="shared" si="1"/>
        <v>15464</v>
      </c>
      <c r="S15" s="166">
        <f t="shared" si="1"/>
        <v>30928</v>
      </c>
      <c r="T15" s="185">
        <f ca="1">SUM($H15:(OFFSET($H15,0,AVANCE060826!$T$2)))</f>
        <v>139176</v>
      </c>
      <c r="U15" s="903"/>
    </row>
    <row r="16" spans="1:21" ht="46.5" customHeight="1" x14ac:dyDescent="0.25">
      <c r="A16" s="311">
        <v>200200</v>
      </c>
      <c r="B16" s="158">
        <v>162436</v>
      </c>
      <c r="C16" s="344"/>
      <c r="D16" s="969"/>
      <c r="E16" s="975"/>
      <c r="F16" s="972"/>
      <c r="G16" s="166" t="s">
        <v>53</v>
      </c>
      <c r="H16" s="166"/>
      <c r="I16" s="166">
        <f t="shared" ref="I16:S16" si="2">VLOOKUP($A16&amp;$B16&amp;I$10,Base,9,FALSE)</f>
        <v>0</v>
      </c>
      <c r="J16" s="166">
        <f t="shared" si="2"/>
        <v>30926.28</v>
      </c>
      <c r="K16" s="166">
        <f t="shared" si="2"/>
        <v>15463.14</v>
      </c>
      <c r="L16" s="166">
        <f t="shared" si="2"/>
        <v>15463.14</v>
      </c>
      <c r="M16" s="166">
        <f t="shared" si="2"/>
        <v>15463.14</v>
      </c>
      <c r="N16" s="166">
        <f t="shared" si="2"/>
        <v>15463.14</v>
      </c>
      <c r="O16" s="166">
        <f t="shared" si="2"/>
        <v>15463.14</v>
      </c>
      <c r="P16" s="166">
        <f t="shared" si="2"/>
        <v>0</v>
      </c>
      <c r="Q16" s="166">
        <f t="shared" si="2"/>
        <v>15463.14</v>
      </c>
      <c r="R16" s="166">
        <f t="shared" si="2"/>
        <v>0</v>
      </c>
      <c r="S16" s="166">
        <f t="shared" si="2"/>
        <v>0</v>
      </c>
      <c r="T16" s="185">
        <f t="shared" si="0"/>
        <v>123705.12</v>
      </c>
      <c r="U16" s="903"/>
    </row>
    <row r="17" spans="1:21" ht="60.75" customHeight="1" x14ac:dyDescent="0.25">
      <c r="A17" s="346">
        <v>200200</v>
      </c>
      <c r="B17" s="420">
        <v>162430</v>
      </c>
      <c r="C17" s="267" t="s">
        <v>555</v>
      </c>
      <c r="D17" s="968" t="s">
        <v>556</v>
      </c>
      <c r="E17" s="976" t="s">
        <v>557</v>
      </c>
      <c r="F17" s="922">
        <f>SUM(I17:S17)</f>
        <v>793440</v>
      </c>
      <c r="G17" s="166" t="s">
        <v>52</v>
      </c>
      <c r="H17" s="166"/>
      <c r="I17" s="166">
        <f t="shared" ref="I17:S17" si="3">VLOOKUP($A17&amp;$B17&amp;I$10,Base,8,FALSE)</f>
        <v>0</v>
      </c>
      <c r="J17" s="166">
        <f t="shared" si="3"/>
        <v>132239.62</v>
      </c>
      <c r="K17" s="166">
        <f t="shared" si="3"/>
        <v>66119.81</v>
      </c>
      <c r="L17" s="166">
        <f t="shared" si="3"/>
        <v>66119.81</v>
      </c>
      <c r="M17" s="166">
        <f t="shared" si="3"/>
        <v>66119.81</v>
      </c>
      <c r="N17" s="166">
        <f t="shared" si="3"/>
        <v>0</v>
      </c>
      <c r="O17" s="166">
        <f t="shared" si="3"/>
        <v>0</v>
      </c>
      <c r="P17" s="166">
        <f t="shared" si="3"/>
        <v>132239.62</v>
      </c>
      <c r="Q17" s="166">
        <f t="shared" si="3"/>
        <v>132241.32999999999</v>
      </c>
      <c r="R17" s="166">
        <f t="shared" si="3"/>
        <v>66120</v>
      </c>
      <c r="S17" s="166">
        <f t="shared" si="3"/>
        <v>132240</v>
      </c>
      <c r="T17" s="185">
        <f ca="1">SUM($H17:(OFFSET($H17,0,AVANCE060826!$T$2)))</f>
        <v>595080</v>
      </c>
      <c r="U17" s="903"/>
    </row>
    <row r="18" spans="1:21" ht="60.75" customHeight="1" x14ac:dyDescent="0.25">
      <c r="A18" s="346">
        <v>200200</v>
      </c>
      <c r="B18" s="420">
        <v>162430</v>
      </c>
      <c r="C18" s="421"/>
      <c r="D18" s="969"/>
      <c r="E18" s="977"/>
      <c r="F18" s="972"/>
      <c r="G18" s="166" t="s">
        <v>53</v>
      </c>
      <c r="H18" s="166"/>
      <c r="I18" s="166">
        <f t="shared" ref="I18:S18" si="4">VLOOKUP($A18&amp;$B18&amp;I$10,Base,9,FALSE)</f>
        <v>0</v>
      </c>
      <c r="J18" s="166">
        <f t="shared" si="4"/>
        <v>132239.62</v>
      </c>
      <c r="K18" s="166">
        <f t="shared" si="4"/>
        <v>66119.81</v>
      </c>
      <c r="L18" s="166">
        <f t="shared" si="4"/>
        <v>66119.81</v>
      </c>
      <c r="M18" s="166">
        <f t="shared" si="4"/>
        <v>66119.81</v>
      </c>
      <c r="N18" s="166">
        <f t="shared" si="4"/>
        <v>0</v>
      </c>
      <c r="O18" s="166">
        <f t="shared" si="4"/>
        <v>0</v>
      </c>
      <c r="P18" s="166">
        <f t="shared" si="4"/>
        <v>132239.62</v>
      </c>
      <c r="Q18" s="166">
        <f t="shared" si="4"/>
        <v>0</v>
      </c>
      <c r="R18" s="166">
        <f t="shared" si="4"/>
        <v>0</v>
      </c>
      <c r="S18" s="166">
        <f t="shared" si="4"/>
        <v>0</v>
      </c>
      <c r="T18" s="185">
        <f t="shared" si="0"/>
        <v>462838.67</v>
      </c>
      <c r="U18" s="903"/>
    </row>
    <row r="19" spans="1:21" ht="96" customHeight="1" x14ac:dyDescent="0.25">
      <c r="A19" s="311">
        <v>130100</v>
      </c>
      <c r="B19" s="158">
        <v>169001</v>
      </c>
      <c r="C19" s="419" t="s">
        <v>547</v>
      </c>
      <c r="D19" s="968" t="s">
        <v>558</v>
      </c>
      <c r="E19" s="976" t="s">
        <v>559</v>
      </c>
      <c r="F19" s="922">
        <f>SUM(I19:S19)</f>
        <v>1740000</v>
      </c>
      <c r="G19" s="166" t="s">
        <v>52</v>
      </c>
      <c r="H19" s="166"/>
      <c r="I19" s="166">
        <f t="shared" ref="I19:S19" si="5">VLOOKUP($A19&amp;$B19&amp;I$10,Base,8,FALSE)</f>
        <v>0</v>
      </c>
      <c r="J19" s="166">
        <f t="shared" si="5"/>
        <v>0</v>
      </c>
      <c r="K19" s="166">
        <f t="shared" si="5"/>
        <v>435000</v>
      </c>
      <c r="L19" s="166">
        <f t="shared" si="5"/>
        <v>145000</v>
      </c>
      <c r="M19" s="166">
        <f t="shared" si="5"/>
        <v>145000</v>
      </c>
      <c r="N19" s="166">
        <f t="shared" si="5"/>
        <v>145000</v>
      </c>
      <c r="O19" s="166">
        <f t="shared" si="5"/>
        <v>145000</v>
      </c>
      <c r="P19" s="166">
        <f t="shared" si="5"/>
        <v>145000</v>
      </c>
      <c r="Q19" s="166">
        <f t="shared" si="5"/>
        <v>145000</v>
      </c>
      <c r="R19" s="166">
        <f t="shared" si="5"/>
        <v>145000</v>
      </c>
      <c r="S19" s="166">
        <f t="shared" si="5"/>
        <v>290000</v>
      </c>
      <c r="T19" s="185">
        <f ca="1">SUM($H19:(OFFSET($H19,0,AVANCE060826!$T$2)))</f>
        <v>1305000</v>
      </c>
      <c r="U19" s="903"/>
    </row>
    <row r="20" spans="1:21" ht="96" customHeight="1" x14ac:dyDescent="0.25">
      <c r="A20" s="311">
        <v>130100</v>
      </c>
      <c r="B20" s="158">
        <v>169001</v>
      </c>
      <c r="C20" s="419"/>
      <c r="D20" s="969"/>
      <c r="E20" s="977"/>
      <c r="F20" s="972"/>
      <c r="G20" s="166" t="s">
        <v>53</v>
      </c>
      <c r="H20" s="166"/>
      <c r="I20" s="166">
        <f t="shared" ref="I20:S20" si="6">VLOOKUP($A20&amp;$B20&amp;I$10,Base,9,FALSE)</f>
        <v>0</v>
      </c>
      <c r="J20" s="166">
        <f t="shared" si="6"/>
        <v>0</v>
      </c>
      <c r="K20" s="166">
        <f t="shared" si="6"/>
        <v>435000</v>
      </c>
      <c r="L20" s="166">
        <f t="shared" si="6"/>
        <v>145000</v>
      </c>
      <c r="M20" s="166">
        <f t="shared" si="6"/>
        <v>145000</v>
      </c>
      <c r="N20" s="166">
        <f t="shared" si="6"/>
        <v>145000</v>
      </c>
      <c r="O20" s="166">
        <f t="shared" si="6"/>
        <v>145000</v>
      </c>
      <c r="P20" s="166">
        <f t="shared" si="6"/>
        <v>145000</v>
      </c>
      <c r="Q20" s="166">
        <f t="shared" si="6"/>
        <v>0</v>
      </c>
      <c r="R20" s="166">
        <f t="shared" si="6"/>
        <v>0</v>
      </c>
      <c r="S20" s="166">
        <f t="shared" si="6"/>
        <v>0</v>
      </c>
      <c r="T20" s="185">
        <f t="shared" si="0"/>
        <v>1160000</v>
      </c>
      <c r="U20" s="903"/>
    </row>
    <row r="21" spans="1:21" ht="60" customHeight="1" x14ac:dyDescent="0.25">
      <c r="A21" s="311">
        <v>400100</v>
      </c>
      <c r="B21" s="158">
        <v>169001</v>
      </c>
      <c r="C21" s="422" t="s">
        <v>560</v>
      </c>
      <c r="D21" s="968" t="s">
        <v>561</v>
      </c>
      <c r="E21" s="976" t="s">
        <v>562</v>
      </c>
      <c r="F21" s="922">
        <f>SUM(I21:S21)</f>
        <v>835200</v>
      </c>
      <c r="G21" s="166" t="s">
        <v>52</v>
      </c>
      <c r="H21" s="166"/>
      <c r="I21" s="166">
        <f t="shared" ref="I21:S21" si="7">VLOOKUP($A21&amp;$B21&amp;I$10,Base,8,FALSE)</f>
        <v>0</v>
      </c>
      <c r="J21" s="166">
        <f t="shared" si="7"/>
        <v>0</v>
      </c>
      <c r="K21" s="166">
        <f t="shared" si="7"/>
        <v>208799.88</v>
      </c>
      <c r="L21" s="166">
        <f t="shared" si="7"/>
        <v>69599.960000000006</v>
      </c>
      <c r="M21" s="166">
        <f t="shared" si="7"/>
        <v>69599.960000000006</v>
      </c>
      <c r="N21" s="166">
        <f t="shared" si="7"/>
        <v>0</v>
      </c>
      <c r="O21" s="166">
        <f t="shared" si="7"/>
        <v>139199.92000000001</v>
      </c>
      <c r="P21" s="166">
        <f t="shared" si="7"/>
        <v>69599.960000000006</v>
      </c>
      <c r="Q21" s="166">
        <f t="shared" si="7"/>
        <v>69600.320000000007</v>
      </c>
      <c r="R21" s="166">
        <f t="shared" si="7"/>
        <v>69600</v>
      </c>
      <c r="S21" s="166">
        <f t="shared" si="7"/>
        <v>139200</v>
      </c>
      <c r="T21" s="185">
        <f ca="1">SUM($H21:(OFFSET($H21,0,AVANCE060826!$T$2)))</f>
        <v>626400</v>
      </c>
      <c r="U21" s="903"/>
    </row>
    <row r="22" spans="1:21" ht="60" customHeight="1" x14ac:dyDescent="0.25">
      <c r="A22" s="311">
        <v>400100</v>
      </c>
      <c r="B22" s="158">
        <v>169001</v>
      </c>
      <c r="C22" s="422"/>
      <c r="D22" s="969"/>
      <c r="E22" s="977"/>
      <c r="F22" s="972"/>
      <c r="G22" s="166" t="s">
        <v>53</v>
      </c>
      <c r="H22" s="166"/>
      <c r="I22" s="166">
        <f t="shared" ref="I22:S22" si="8">VLOOKUP($A22&amp;$B22&amp;I$10,Base,9,FALSE)</f>
        <v>0</v>
      </c>
      <c r="J22" s="166">
        <f t="shared" si="8"/>
        <v>0</v>
      </c>
      <c r="K22" s="166">
        <f t="shared" si="8"/>
        <v>208799.88</v>
      </c>
      <c r="L22" s="166">
        <f t="shared" si="8"/>
        <v>69599.960000000006</v>
      </c>
      <c r="M22" s="166">
        <f t="shared" si="8"/>
        <v>69599.960000000006</v>
      </c>
      <c r="N22" s="166">
        <f t="shared" si="8"/>
        <v>0</v>
      </c>
      <c r="O22" s="166">
        <f t="shared" si="8"/>
        <v>139199.92000000001</v>
      </c>
      <c r="P22" s="166">
        <f t="shared" si="8"/>
        <v>69599.960000000006</v>
      </c>
      <c r="Q22" s="166">
        <f t="shared" si="8"/>
        <v>0</v>
      </c>
      <c r="R22" s="166">
        <f t="shared" si="8"/>
        <v>0</v>
      </c>
      <c r="S22" s="166">
        <f t="shared" si="8"/>
        <v>0</v>
      </c>
      <c r="T22" s="185">
        <f t="shared" si="0"/>
        <v>556799.68000000005</v>
      </c>
      <c r="U22" s="903"/>
    </row>
    <row r="23" spans="1:21" ht="75" customHeight="1" x14ac:dyDescent="0.25">
      <c r="A23" s="346">
        <v>380200</v>
      </c>
      <c r="B23" s="420">
        <v>165901</v>
      </c>
      <c r="C23" s="347" t="s">
        <v>547</v>
      </c>
      <c r="D23" s="968" t="s">
        <v>564</v>
      </c>
      <c r="E23" s="976" t="s">
        <v>196</v>
      </c>
      <c r="F23" s="922">
        <f>SUM(I23:S23)</f>
        <v>1322400</v>
      </c>
      <c r="G23" s="166" t="s">
        <v>52</v>
      </c>
      <c r="H23" s="166"/>
      <c r="I23" s="166">
        <f t="shared" ref="I23:S23" si="9">VLOOKUP($A23&amp;$B23&amp;I$10,Base,8,FALSE)</f>
        <v>0</v>
      </c>
      <c r="J23" s="166">
        <f t="shared" si="9"/>
        <v>220399.88</v>
      </c>
      <c r="K23" s="166">
        <f t="shared" si="9"/>
        <v>110199.94</v>
      </c>
      <c r="L23" s="166">
        <f t="shared" si="9"/>
        <v>110199.94</v>
      </c>
      <c r="M23" s="166">
        <f t="shared" si="9"/>
        <v>110199.94</v>
      </c>
      <c r="N23" s="166">
        <f t="shared" si="9"/>
        <v>0</v>
      </c>
      <c r="O23" s="166">
        <f t="shared" si="9"/>
        <v>220399.88</v>
      </c>
      <c r="P23" s="166">
        <f t="shared" si="9"/>
        <v>110199.94</v>
      </c>
      <c r="Q23" s="166">
        <f t="shared" si="9"/>
        <v>110200.48</v>
      </c>
      <c r="R23" s="166">
        <f t="shared" si="9"/>
        <v>110200</v>
      </c>
      <c r="S23" s="166">
        <f t="shared" si="9"/>
        <v>220400</v>
      </c>
      <c r="T23" s="185">
        <f ca="1">SUM($H23:(OFFSET($H23,0,AVANCE060826!$T$2)))</f>
        <v>991800</v>
      </c>
      <c r="U23" s="903"/>
    </row>
    <row r="24" spans="1:21" ht="75" customHeight="1" x14ac:dyDescent="0.25">
      <c r="A24" s="346">
        <v>380200</v>
      </c>
      <c r="B24" s="420">
        <v>165901</v>
      </c>
      <c r="C24" s="423"/>
      <c r="D24" s="969"/>
      <c r="E24" s="977"/>
      <c r="F24" s="972"/>
      <c r="G24" s="166" t="s">
        <v>53</v>
      </c>
      <c r="H24" s="166"/>
      <c r="I24" s="166">
        <f t="shared" ref="I24:S24" si="10">VLOOKUP($A24&amp;$B24&amp;I$10,Base,9,FALSE)</f>
        <v>0</v>
      </c>
      <c r="J24" s="166">
        <f t="shared" si="10"/>
        <v>220399.88</v>
      </c>
      <c r="K24" s="166">
        <f t="shared" si="10"/>
        <v>110199.94</v>
      </c>
      <c r="L24" s="166">
        <f t="shared" si="10"/>
        <v>110199.94</v>
      </c>
      <c r="M24" s="166">
        <f t="shared" si="10"/>
        <v>110199.94</v>
      </c>
      <c r="N24" s="166">
        <f t="shared" si="10"/>
        <v>0</v>
      </c>
      <c r="O24" s="166">
        <f t="shared" si="10"/>
        <v>220399.88</v>
      </c>
      <c r="P24" s="166">
        <f t="shared" si="10"/>
        <v>110199.94</v>
      </c>
      <c r="Q24" s="166">
        <f t="shared" si="10"/>
        <v>0</v>
      </c>
      <c r="R24" s="166">
        <f t="shared" si="10"/>
        <v>0</v>
      </c>
      <c r="S24" s="166">
        <f t="shared" si="10"/>
        <v>0</v>
      </c>
      <c r="T24" s="185">
        <f t="shared" si="0"/>
        <v>881599.52</v>
      </c>
      <c r="U24" s="903"/>
    </row>
    <row r="25" spans="1:21" ht="60" customHeight="1" x14ac:dyDescent="0.25">
      <c r="A25" s="346">
        <v>920201</v>
      </c>
      <c r="B25" s="424">
        <v>168002</v>
      </c>
      <c r="C25" s="423" t="s">
        <v>560</v>
      </c>
      <c r="D25" s="873" t="s">
        <v>566</v>
      </c>
      <c r="E25" s="978" t="s">
        <v>210</v>
      </c>
      <c r="F25" s="922">
        <f>SUM(I25:S25)</f>
        <v>365400</v>
      </c>
      <c r="G25" s="166" t="s">
        <v>52</v>
      </c>
      <c r="H25" s="166"/>
      <c r="I25" s="166">
        <f t="shared" ref="I25:S25" si="11">VLOOKUP($A25&amp;$B25&amp;I$10,Base,8,FALSE)</f>
        <v>0</v>
      </c>
      <c r="J25" s="166">
        <f t="shared" si="11"/>
        <v>60897.86</v>
      </c>
      <c r="K25" s="166">
        <f t="shared" si="11"/>
        <v>30448.93</v>
      </c>
      <c r="L25" s="166">
        <f t="shared" si="11"/>
        <v>30448.93</v>
      </c>
      <c r="M25" s="166">
        <f t="shared" si="11"/>
        <v>30448.93</v>
      </c>
      <c r="N25" s="166">
        <f t="shared" si="11"/>
        <v>0</v>
      </c>
      <c r="O25" s="166">
        <f t="shared" si="11"/>
        <v>60897.86</v>
      </c>
      <c r="P25" s="166">
        <f t="shared" si="11"/>
        <v>30448.93</v>
      </c>
      <c r="Q25" s="166">
        <f t="shared" si="11"/>
        <v>30458.560000000001</v>
      </c>
      <c r="R25" s="166">
        <f t="shared" si="11"/>
        <v>30450</v>
      </c>
      <c r="S25" s="166">
        <f t="shared" si="11"/>
        <v>60900</v>
      </c>
      <c r="T25" s="185">
        <f ca="1">SUM($H25:(OFFSET($H25,0,AVANCE060826!$T$2)))</f>
        <v>274050</v>
      </c>
      <c r="U25" s="903"/>
    </row>
    <row r="26" spans="1:21" ht="60" customHeight="1" x14ac:dyDescent="0.25">
      <c r="A26" s="346">
        <v>920201</v>
      </c>
      <c r="B26" s="424">
        <v>168002</v>
      </c>
      <c r="C26" s="425"/>
      <c r="D26" s="873"/>
      <c r="E26" s="978"/>
      <c r="F26" s="972"/>
      <c r="G26" s="166" t="s">
        <v>53</v>
      </c>
      <c r="H26" s="166"/>
      <c r="I26" s="166">
        <f t="shared" ref="I26:S26" si="12">VLOOKUP($A26&amp;$B26&amp;I$10,Base,9,FALSE)</f>
        <v>0</v>
      </c>
      <c r="J26" s="166">
        <f t="shared" si="12"/>
        <v>60897.86</v>
      </c>
      <c r="K26" s="166">
        <f t="shared" si="12"/>
        <v>30448.93</v>
      </c>
      <c r="L26" s="166">
        <f t="shared" si="12"/>
        <v>30448.93</v>
      </c>
      <c r="M26" s="166">
        <f t="shared" si="12"/>
        <v>30448.93</v>
      </c>
      <c r="N26" s="166">
        <f t="shared" si="12"/>
        <v>0</v>
      </c>
      <c r="O26" s="166">
        <f t="shared" si="12"/>
        <v>60897.86</v>
      </c>
      <c r="P26" s="166">
        <f t="shared" si="12"/>
        <v>30448.93</v>
      </c>
      <c r="Q26" s="166">
        <f t="shared" si="12"/>
        <v>0</v>
      </c>
      <c r="R26" s="166">
        <f t="shared" si="12"/>
        <v>0</v>
      </c>
      <c r="S26" s="166">
        <f t="shared" si="12"/>
        <v>0</v>
      </c>
      <c r="T26" s="185">
        <f t="shared" si="0"/>
        <v>243591.44</v>
      </c>
      <c r="U26" s="903"/>
    </row>
    <row r="27" spans="1:21" ht="74.25" customHeight="1" x14ac:dyDescent="0.25">
      <c r="A27" s="372" t="s">
        <v>568</v>
      </c>
      <c r="B27" s="426">
        <v>169101</v>
      </c>
      <c r="C27" s="182" t="s">
        <v>544</v>
      </c>
      <c r="D27" s="873" t="s">
        <v>569</v>
      </c>
      <c r="E27" s="978" t="s">
        <v>190</v>
      </c>
      <c r="F27" s="922">
        <f>SUM(I27:S27)</f>
        <v>12806400</v>
      </c>
      <c r="G27" s="166" t="s">
        <v>52</v>
      </c>
      <c r="H27" s="166"/>
      <c r="I27" s="166">
        <f t="shared" ref="I27:S27" si="13">VLOOKUP($A27&amp;$B27&amp;I$10,Base,8,FALSE)</f>
        <v>0</v>
      </c>
      <c r="J27" s="166">
        <f t="shared" si="13"/>
        <v>2134400</v>
      </c>
      <c r="K27" s="166">
        <f t="shared" si="13"/>
        <v>1067200</v>
      </c>
      <c r="L27" s="166">
        <f t="shared" si="13"/>
        <v>1067200</v>
      </c>
      <c r="M27" s="166">
        <f t="shared" si="13"/>
        <v>1067200</v>
      </c>
      <c r="N27" s="166">
        <f t="shared" si="13"/>
        <v>1067200</v>
      </c>
      <c r="O27" s="166">
        <f t="shared" si="13"/>
        <v>1067200</v>
      </c>
      <c r="P27" s="166">
        <f t="shared" si="13"/>
        <v>1067200</v>
      </c>
      <c r="Q27" s="166">
        <f t="shared" si="13"/>
        <v>1067200</v>
      </c>
      <c r="R27" s="166">
        <f t="shared" si="13"/>
        <v>1067200</v>
      </c>
      <c r="S27" s="166">
        <f t="shared" si="13"/>
        <v>2134400</v>
      </c>
      <c r="T27" s="185">
        <f ca="1">SUM($H27:(OFFSET($H27,0,AVANCE060826!$T$2)))</f>
        <v>9604800</v>
      </c>
      <c r="U27" s="235"/>
    </row>
    <row r="28" spans="1:21" ht="74.25" customHeight="1" x14ac:dyDescent="0.25">
      <c r="A28" s="372" t="s">
        <v>568</v>
      </c>
      <c r="B28" s="426">
        <v>169101</v>
      </c>
      <c r="C28" s="184"/>
      <c r="D28" s="873"/>
      <c r="E28" s="978"/>
      <c r="F28" s="972"/>
      <c r="G28" s="166" t="s">
        <v>53</v>
      </c>
      <c r="H28" s="166"/>
      <c r="I28" s="166">
        <f t="shared" ref="I28:S28" si="14">VLOOKUP($A28&amp;$B28&amp;I$10,Base,9,FALSE)</f>
        <v>0</v>
      </c>
      <c r="J28" s="166">
        <f t="shared" si="14"/>
        <v>2134400</v>
      </c>
      <c r="K28" s="166">
        <f t="shared" si="14"/>
        <v>1067200</v>
      </c>
      <c r="L28" s="166">
        <f t="shared" si="14"/>
        <v>1067200</v>
      </c>
      <c r="M28" s="166">
        <f t="shared" si="14"/>
        <v>1067200</v>
      </c>
      <c r="N28" s="166">
        <f t="shared" si="14"/>
        <v>1067200</v>
      </c>
      <c r="O28" s="166">
        <f t="shared" si="14"/>
        <v>1067200</v>
      </c>
      <c r="P28" s="166">
        <f t="shared" si="14"/>
        <v>1067200</v>
      </c>
      <c r="Q28" s="166">
        <f t="shared" si="14"/>
        <v>0</v>
      </c>
      <c r="R28" s="166">
        <f t="shared" si="14"/>
        <v>0</v>
      </c>
      <c r="S28" s="166">
        <f t="shared" si="14"/>
        <v>0</v>
      </c>
      <c r="T28" s="185">
        <f t="shared" si="0"/>
        <v>8537600</v>
      </c>
      <c r="U28" s="235"/>
    </row>
    <row r="29" spans="1:21" ht="74.25" customHeight="1" x14ac:dyDescent="0.25">
      <c r="A29" s="428">
        <v>50100</v>
      </c>
      <c r="B29" s="427">
        <v>169001</v>
      </c>
      <c r="C29" s="184" t="s">
        <v>544</v>
      </c>
      <c r="D29" s="873" t="s">
        <v>570</v>
      </c>
      <c r="E29" s="978" t="s">
        <v>180</v>
      </c>
      <c r="F29" s="922">
        <f>SUM(I29:S29)</f>
        <v>270000</v>
      </c>
      <c r="G29" s="166" t="s">
        <v>52</v>
      </c>
      <c r="H29" s="166"/>
      <c r="I29" s="166">
        <f t="shared" ref="I29:S29" si="15">VLOOKUP($A29&amp;$B29&amp;I$10,Base,8,FALSE)</f>
        <v>0</v>
      </c>
      <c r="J29" s="166">
        <f t="shared" si="15"/>
        <v>45000</v>
      </c>
      <c r="K29" s="166">
        <f t="shared" si="15"/>
        <v>22500</v>
      </c>
      <c r="L29" s="166">
        <f t="shared" si="15"/>
        <v>22500</v>
      </c>
      <c r="M29" s="166">
        <f t="shared" si="15"/>
        <v>22500</v>
      </c>
      <c r="N29" s="166">
        <f t="shared" si="15"/>
        <v>22500</v>
      </c>
      <c r="O29" s="166">
        <f t="shared" si="15"/>
        <v>22500</v>
      </c>
      <c r="P29" s="166">
        <f t="shared" si="15"/>
        <v>22500</v>
      </c>
      <c r="Q29" s="166">
        <f t="shared" si="15"/>
        <v>22500</v>
      </c>
      <c r="R29" s="166">
        <f t="shared" si="15"/>
        <v>22500</v>
      </c>
      <c r="S29" s="166">
        <f t="shared" si="15"/>
        <v>45000</v>
      </c>
      <c r="T29" s="185">
        <f ca="1">SUM($H29:(OFFSET($H29,0,AVANCE060826!$T$2)))</f>
        <v>202500</v>
      </c>
      <c r="U29" s="235"/>
    </row>
    <row r="30" spans="1:21" ht="74.25" customHeight="1" x14ac:dyDescent="0.25">
      <c r="A30" s="428">
        <v>50100</v>
      </c>
      <c r="B30" s="427">
        <v>169001</v>
      </c>
      <c r="C30" s="184"/>
      <c r="D30" s="873"/>
      <c r="E30" s="978"/>
      <c r="F30" s="972"/>
      <c r="G30" s="166" t="s">
        <v>53</v>
      </c>
      <c r="H30" s="166"/>
      <c r="I30" s="166">
        <f t="shared" ref="I30:S30" si="16">VLOOKUP($A30&amp;$B30&amp;I$10,Base,9,FALSE)</f>
        <v>0</v>
      </c>
      <c r="J30" s="166">
        <f t="shared" si="16"/>
        <v>45000</v>
      </c>
      <c r="K30" s="166">
        <f t="shared" si="16"/>
        <v>22500</v>
      </c>
      <c r="L30" s="166">
        <f t="shared" si="16"/>
        <v>22500</v>
      </c>
      <c r="M30" s="166">
        <f t="shared" si="16"/>
        <v>22500</v>
      </c>
      <c r="N30" s="166">
        <f t="shared" si="16"/>
        <v>22500</v>
      </c>
      <c r="O30" s="166">
        <f t="shared" si="16"/>
        <v>22500</v>
      </c>
      <c r="P30" s="166">
        <f t="shared" si="16"/>
        <v>22500</v>
      </c>
      <c r="Q30" s="166">
        <f t="shared" si="16"/>
        <v>0</v>
      </c>
      <c r="R30" s="166">
        <f t="shared" si="16"/>
        <v>0</v>
      </c>
      <c r="S30" s="166">
        <f t="shared" si="16"/>
        <v>0</v>
      </c>
      <c r="T30" s="185">
        <f t="shared" si="0"/>
        <v>180000</v>
      </c>
      <c r="U30" s="235"/>
    </row>
    <row r="31" spans="1:21" ht="74.25" customHeight="1" x14ac:dyDescent="0.25">
      <c r="A31" s="428">
        <v>73100</v>
      </c>
      <c r="B31" s="427" t="s">
        <v>82</v>
      </c>
      <c r="C31" s="184" t="s">
        <v>544</v>
      </c>
      <c r="D31" s="873" t="s">
        <v>571</v>
      </c>
      <c r="E31" s="978" t="s">
        <v>255</v>
      </c>
      <c r="F31" s="922">
        <f>SUM(I31:S31)</f>
        <v>294000</v>
      </c>
      <c r="G31" s="166" t="s">
        <v>52</v>
      </c>
      <c r="H31" s="166"/>
      <c r="I31" s="166">
        <f t="shared" ref="I31:S31" si="17">VLOOKUP($A31&amp;$B31&amp;I$10,Base,8,FALSE)</f>
        <v>0</v>
      </c>
      <c r="J31" s="166">
        <f t="shared" si="17"/>
        <v>0</v>
      </c>
      <c r="K31" s="166">
        <f t="shared" si="17"/>
        <v>0</v>
      </c>
      <c r="L31" s="166">
        <f t="shared" si="17"/>
        <v>97999.96</v>
      </c>
      <c r="M31" s="166">
        <f t="shared" si="17"/>
        <v>24499.99</v>
      </c>
      <c r="N31" s="166">
        <f t="shared" si="17"/>
        <v>24499.99</v>
      </c>
      <c r="O31" s="166">
        <f t="shared" si="17"/>
        <v>24499.99</v>
      </c>
      <c r="P31" s="166">
        <f t="shared" si="17"/>
        <v>24499.99</v>
      </c>
      <c r="Q31" s="166">
        <f t="shared" si="17"/>
        <v>24500.080000000002</v>
      </c>
      <c r="R31" s="166">
        <f t="shared" si="17"/>
        <v>24500</v>
      </c>
      <c r="S31" s="166">
        <f t="shared" si="17"/>
        <v>49000</v>
      </c>
      <c r="T31" s="185">
        <f ca="1">SUM($H31:(OFFSET($H31,0,AVANCE060826!$T$2)))</f>
        <v>220500</v>
      </c>
      <c r="U31" s="903"/>
    </row>
    <row r="32" spans="1:21" ht="74.25" customHeight="1" x14ac:dyDescent="0.25">
      <c r="A32" s="428">
        <v>73100</v>
      </c>
      <c r="B32" s="427" t="s">
        <v>82</v>
      </c>
      <c r="C32" s="184"/>
      <c r="D32" s="873"/>
      <c r="E32" s="978"/>
      <c r="F32" s="972"/>
      <c r="G32" s="166" t="s">
        <v>53</v>
      </c>
      <c r="H32" s="166"/>
      <c r="I32" s="166">
        <f t="shared" ref="I32:S32" si="18">VLOOKUP($A32&amp;$B32&amp;I$10,Base,9,FALSE)</f>
        <v>0</v>
      </c>
      <c r="J32" s="166">
        <f t="shared" si="18"/>
        <v>0</v>
      </c>
      <c r="K32" s="166">
        <f t="shared" si="18"/>
        <v>0</v>
      </c>
      <c r="L32" s="166">
        <f t="shared" si="18"/>
        <v>97999.96</v>
      </c>
      <c r="M32" s="166">
        <f t="shared" si="18"/>
        <v>24499.99</v>
      </c>
      <c r="N32" s="166">
        <f t="shared" si="18"/>
        <v>24499.99</v>
      </c>
      <c r="O32" s="166">
        <f t="shared" si="18"/>
        <v>24499.99</v>
      </c>
      <c r="P32" s="166">
        <f t="shared" si="18"/>
        <v>24499.99</v>
      </c>
      <c r="Q32" s="166">
        <f t="shared" si="18"/>
        <v>0</v>
      </c>
      <c r="R32" s="166">
        <f t="shared" si="18"/>
        <v>0</v>
      </c>
      <c r="S32" s="166">
        <f t="shared" si="18"/>
        <v>0</v>
      </c>
      <c r="T32" s="185">
        <f t="shared" si="0"/>
        <v>195999.91999999998</v>
      </c>
      <c r="U32" s="903"/>
    </row>
    <row r="33" spans="1:21" ht="15.75" thickBot="1" x14ac:dyDescent="0.3">
      <c r="A33" s="40">
        <v>9</v>
      </c>
      <c r="B33" s="4"/>
      <c r="C33" s="24">
        <f>COUNT(#REF!)</f>
        <v>0</v>
      </c>
      <c r="D33" s="7"/>
      <c r="E33" s="6"/>
      <c r="F33" s="32">
        <f>SUM(F13:F32)</f>
        <v>18612408</v>
      </c>
      <c r="G33" s="166" t="s">
        <v>52</v>
      </c>
      <c r="H33" s="176">
        <f t="shared" ref="H33:T34" si="19">+H13+H15+H17+H19+H21+H23+H25+H27+H29+H31</f>
        <v>0</v>
      </c>
      <c r="I33" s="176">
        <f t="shared" si="19"/>
        <v>0</v>
      </c>
      <c r="J33" s="176">
        <f t="shared" si="19"/>
        <v>2623863.64</v>
      </c>
      <c r="K33" s="176">
        <f t="shared" si="19"/>
        <v>1955731.7000000002</v>
      </c>
      <c r="L33" s="176">
        <f t="shared" si="19"/>
        <v>1624531.74</v>
      </c>
      <c r="M33" s="176">
        <f t="shared" si="19"/>
        <v>1551031.77</v>
      </c>
      <c r="N33" s="176">
        <f t="shared" ref="N33:S33" si="20">+N13+N15+N17+N19+N21+N23+N25+N27+N29+N31</f>
        <v>1274663.1300000001</v>
      </c>
      <c r="O33" s="176">
        <f t="shared" si="20"/>
        <v>1695160.79</v>
      </c>
      <c r="P33" s="176">
        <f t="shared" si="20"/>
        <v>1601688.44</v>
      </c>
      <c r="Q33" s="176">
        <f t="shared" si="20"/>
        <v>1632634.79</v>
      </c>
      <c r="R33" s="176">
        <f t="shared" si="20"/>
        <v>1551034</v>
      </c>
      <c r="S33" s="176">
        <f t="shared" si="20"/>
        <v>3102068</v>
      </c>
      <c r="T33" s="176">
        <f t="shared" ca="1" si="19"/>
        <v>13959306</v>
      </c>
      <c r="U33" s="5"/>
    </row>
    <row r="34" spans="1:21" ht="31.5" customHeight="1" x14ac:dyDescent="0.25">
      <c r="F34" s="3"/>
      <c r="G34" s="166" t="s">
        <v>53</v>
      </c>
      <c r="H34" s="176">
        <f t="shared" si="19"/>
        <v>0</v>
      </c>
      <c r="I34" s="176">
        <f t="shared" si="19"/>
        <v>0</v>
      </c>
      <c r="J34" s="176">
        <f t="shared" si="19"/>
        <v>2623863.64</v>
      </c>
      <c r="K34" s="176">
        <f t="shared" si="19"/>
        <v>1955731.7000000002</v>
      </c>
      <c r="L34" s="176">
        <f t="shared" si="19"/>
        <v>1624531.74</v>
      </c>
      <c r="M34" s="176">
        <f t="shared" si="19"/>
        <v>1551031.77</v>
      </c>
      <c r="N34" s="176">
        <f t="shared" ref="N34:S34" si="21">+N14+N16+N18+N20+N22+N24+N26+N28+N30+N32</f>
        <v>1274663.1300000001</v>
      </c>
      <c r="O34" s="176">
        <f t="shared" si="21"/>
        <v>1695160.79</v>
      </c>
      <c r="P34" s="176">
        <f t="shared" si="21"/>
        <v>1601688.44</v>
      </c>
      <c r="Q34" s="176">
        <f t="shared" si="21"/>
        <v>15463.14</v>
      </c>
      <c r="R34" s="176">
        <f t="shared" si="21"/>
        <v>0</v>
      </c>
      <c r="S34" s="176">
        <f t="shared" si="21"/>
        <v>0</v>
      </c>
      <c r="T34" s="176">
        <f t="shared" si="19"/>
        <v>12342134.35</v>
      </c>
      <c r="U34" s="857"/>
    </row>
    <row r="35" spans="1:21" ht="31.5" customHeight="1" x14ac:dyDescent="0.25"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2"/>
      <c r="U35" s="857"/>
    </row>
    <row r="36" spans="1:21" ht="31.5" customHeight="1" x14ac:dyDescent="0.25"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</sheetData>
  <autoFilter ref="B12:B35"/>
  <mergeCells count="58">
    <mergeCell ref="U31:U32"/>
    <mergeCell ref="U34:U35"/>
    <mergeCell ref="D29:D30"/>
    <mergeCell ref="E29:E30"/>
    <mergeCell ref="F29:F30"/>
    <mergeCell ref="D31:D32"/>
    <mergeCell ref="E31:E32"/>
    <mergeCell ref="F31:F32"/>
    <mergeCell ref="U25:U26"/>
    <mergeCell ref="D27:D28"/>
    <mergeCell ref="E27:E28"/>
    <mergeCell ref="F27:F28"/>
    <mergeCell ref="D25:D26"/>
    <mergeCell ref="E25:E26"/>
    <mergeCell ref="F25:F26"/>
    <mergeCell ref="U21:U22"/>
    <mergeCell ref="D23:D24"/>
    <mergeCell ref="E23:E24"/>
    <mergeCell ref="F23:F24"/>
    <mergeCell ref="U23:U24"/>
    <mergeCell ref="D21:D22"/>
    <mergeCell ref="E21:E22"/>
    <mergeCell ref="F21:F22"/>
    <mergeCell ref="U17:U18"/>
    <mergeCell ref="D19:D20"/>
    <mergeCell ref="E19:E20"/>
    <mergeCell ref="F19:F20"/>
    <mergeCell ref="U19:U20"/>
    <mergeCell ref="D17:D18"/>
    <mergeCell ref="E17:E18"/>
    <mergeCell ref="F17:F18"/>
    <mergeCell ref="U13:U14"/>
    <mergeCell ref="D15:D16"/>
    <mergeCell ref="E15:E16"/>
    <mergeCell ref="F15:F16"/>
    <mergeCell ref="U15:U16"/>
    <mergeCell ref="D13:D14"/>
    <mergeCell ref="E13:E14"/>
    <mergeCell ref="F13:F14"/>
    <mergeCell ref="Q11:Q12"/>
    <mergeCell ref="R11:R12"/>
    <mergeCell ref="S11:S12"/>
    <mergeCell ref="D7:U7"/>
    <mergeCell ref="H11:H12"/>
    <mergeCell ref="I11:I12"/>
    <mergeCell ref="J11:J12"/>
    <mergeCell ref="U11:U12"/>
    <mergeCell ref="K11:K12"/>
    <mergeCell ref="L11:L12"/>
    <mergeCell ref="M11:M12"/>
    <mergeCell ref="N11:N12"/>
    <mergeCell ref="O11:O12"/>
    <mergeCell ref="P11:P12"/>
    <mergeCell ref="C11:C12"/>
    <mergeCell ref="D11:D12"/>
    <mergeCell ref="E11:E12"/>
    <mergeCell ref="F11:F12"/>
    <mergeCell ref="G11:G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2" fitToHeight="2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opLeftCell="A7" zoomScale="80" zoomScaleNormal="80" zoomScaleSheetLayoutView="85" zoomScalePageLayoutView="80" workbookViewId="0">
      <pane xSplit="3" ySplit="5" topLeftCell="D12" activePane="bottomRight" state="frozen"/>
      <selection activeCell="A7" sqref="A7"/>
      <selection pane="topRight" activeCell="D7" sqref="D7"/>
      <selection pane="bottomLeft" activeCell="A12" sqref="A12"/>
      <selection pane="bottomRight" activeCell="O14" sqref="O14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9.28515625" customWidth="1"/>
    <col min="5" max="5" width="27.28515625" style="1" customWidth="1"/>
    <col min="6" max="6" width="15.85546875" customWidth="1"/>
    <col min="7" max="7" width="15" customWidth="1"/>
    <col min="8" max="8" width="19.140625" customWidth="1"/>
    <col min="9" max="9" width="16.7109375" customWidth="1"/>
    <col min="10" max="10" width="15.5703125" bestFit="1" customWidth="1"/>
    <col min="11" max="11" width="11.7109375" hidden="1" customWidth="1"/>
    <col min="12" max="12" width="10.28515625" hidden="1" customWidth="1"/>
    <col min="13" max="13" width="36.85546875" style="306" customWidth="1"/>
    <col min="14" max="14" width="5" hidden="1" customWidth="1"/>
    <col min="15" max="15" width="28" customWidth="1"/>
    <col min="16" max="16365" width="11.42578125" customWidth="1"/>
  </cols>
  <sheetData>
    <row r="1" spans="1:18" ht="18" x14ac:dyDescent="0.25">
      <c r="D1" s="10" t="s">
        <v>25</v>
      </c>
      <c r="M1" s="436"/>
    </row>
    <row r="2" spans="1:18" ht="18" x14ac:dyDescent="0.25">
      <c r="D2" s="10" t="s">
        <v>24</v>
      </c>
    </row>
    <row r="3" spans="1:18" ht="18" x14ac:dyDescent="0.25">
      <c r="D3" s="10" t="s">
        <v>23</v>
      </c>
    </row>
    <row r="4" spans="1:18" ht="18" x14ac:dyDescent="0.25">
      <c r="D4" s="10" t="s">
        <v>22</v>
      </c>
      <c r="K4" s="9"/>
      <c r="L4" s="9"/>
    </row>
    <row r="5" spans="1:18" ht="18" x14ac:dyDescent="0.25">
      <c r="D5" s="10" t="s">
        <v>21</v>
      </c>
    </row>
    <row r="6" spans="1:18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378"/>
    </row>
    <row r="7" spans="1:18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8" ht="18" x14ac:dyDescent="0.25">
      <c r="D8" s="39" t="s">
        <v>31</v>
      </c>
      <c r="E8" s="10" t="s">
        <v>136</v>
      </c>
      <c r="H8" s="9"/>
      <c r="I8" s="9"/>
    </row>
    <row r="9" spans="1:18" ht="15.75" thickBot="1" x14ac:dyDescent="0.3">
      <c r="H9" s="9"/>
      <c r="I9" s="9"/>
      <c r="J9" s="9"/>
    </row>
    <row r="10" spans="1:18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  <c r="O10" s="192"/>
      <c r="P10" s="192"/>
      <c r="Q10" s="9"/>
    </row>
    <row r="11" spans="1:18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41"/>
      <c r="O11" s="192"/>
      <c r="P11" s="192"/>
      <c r="Q11" s="9"/>
    </row>
    <row r="12" spans="1:18" ht="72" thickTop="1" x14ac:dyDescent="0.25">
      <c r="A12" s="154">
        <v>175303</v>
      </c>
      <c r="B12" s="308">
        <v>310203</v>
      </c>
      <c r="C12" s="268" t="s">
        <v>576</v>
      </c>
      <c r="D12" s="240" t="s">
        <v>577</v>
      </c>
      <c r="E12" s="349" t="s">
        <v>578</v>
      </c>
      <c r="F12" s="350">
        <f>MICH_Calendario!F13</f>
        <v>417600</v>
      </c>
      <c r="G12" s="351">
        <f>+F12/12</f>
        <v>34800</v>
      </c>
      <c r="H12" s="65">
        <f ca="1">MICH_Calendario!T13</f>
        <v>313200</v>
      </c>
      <c r="I12" s="65">
        <f>MICH_Calendario!T14</f>
        <v>0</v>
      </c>
      <c r="J12" s="73">
        <f t="shared" ref="J12:J18" ca="1" si="0">H12-I12</f>
        <v>313200</v>
      </c>
      <c r="K12" s="74">
        <f t="shared" ref="K12:K20" ca="1" si="1">+J12/H12*100</f>
        <v>100</v>
      </c>
      <c r="L12" s="75">
        <f t="shared" ref="L12:L20" ca="1" si="2">+I12/H12*100</f>
        <v>0</v>
      </c>
      <c r="M12" s="352" t="s">
        <v>995</v>
      </c>
      <c r="O12" s="192"/>
      <c r="P12" s="192"/>
      <c r="Q12" s="9"/>
    </row>
    <row r="13" spans="1:18" ht="85.5" x14ac:dyDescent="0.25">
      <c r="A13" s="159">
        <v>179103</v>
      </c>
      <c r="B13" s="311">
        <v>900110</v>
      </c>
      <c r="C13" s="344" t="s">
        <v>579</v>
      </c>
      <c r="D13" s="135" t="s">
        <v>580</v>
      </c>
      <c r="E13" s="311" t="s">
        <v>190</v>
      </c>
      <c r="F13" s="350">
        <f>MICH_Calendario!F15</f>
        <v>696000</v>
      </c>
      <c r="G13" s="351">
        <f t="shared" ref="G13:G18" si="3">+F13/12</f>
        <v>58000</v>
      </c>
      <c r="H13" s="65">
        <f ca="1">MICH_Calendario!T15</f>
        <v>522000</v>
      </c>
      <c r="I13" s="65">
        <f>MICH_Calendario!T16</f>
        <v>463999.76</v>
      </c>
      <c r="J13" s="73">
        <f t="shared" ca="1" si="0"/>
        <v>58000.239999999991</v>
      </c>
      <c r="K13" s="74">
        <f t="shared" ca="1" si="1"/>
        <v>11.111157088122603</v>
      </c>
      <c r="L13" s="75">
        <f t="shared" ca="1" si="2"/>
        <v>88.88884291187739</v>
      </c>
      <c r="M13" s="352" t="s">
        <v>778</v>
      </c>
      <c r="O13" s="192"/>
      <c r="P13" s="192"/>
      <c r="Q13" s="9"/>
    </row>
    <row r="14" spans="1:18" ht="69" customHeight="1" x14ac:dyDescent="0.25">
      <c r="A14" s="159">
        <v>179104</v>
      </c>
      <c r="B14" s="311">
        <v>900110</v>
      </c>
      <c r="C14" s="344" t="s">
        <v>581</v>
      </c>
      <c r="D14" s="135" t="s">
        <v>582</v>
      </c>
      <c r="E14" s="311" t="s">
        <v>190</v>
      </c>
      <c r="F14" s="350">
        <f>MICH_Calendario!F17</f>
        <v>1322400</v>
      </c>
      <c r="G14" s="351">
        <f>F14/12</f>
        <v>110200</v>
      </c>
      <c r="H14" s="65">
        <f ca="1">MICH_Calendario!T17</f>
        <v>991799.99999999988</v>
      </c>
      <c r="I14" s="65">
        <f>MICH_Calendario!T18</f>
        <v>835999.57999999984</v>
      </c>
      <c r="J14" s="73">
        <f t="shared" ca="1" si="0"/>
        <v>155800.42000000004</v>
      </c>
      <c r="K14" s="74">
        <f t="shared" ca="1" si="1"/>
        <v>15.708854607783834</v>
      </c>
      <c r="L14" s="75">
        <f t="shared" ca="1" si="2"/>
        <v>84.291145392216166</v>
      </c>
      <c r="M14" s="352" t="s">
        <v>318</v>
      </c>
      <c r="O14" s="192"/>
      <c r="P14" s="279"/>
      <c r="Q14" s="434"/>
      <c r="R14" s="434"/>
    </row>
    <row r="15" spans="1:18" ht="66" customHeight="1" x14ac:dyDescent="0.25">
      <c r="A15" s="159">
        <v>179102</v>
      </c>
      <c r="B15" s="311">
        <v>900110</v>
      </c>
      <c r="C15" s="437" t="s">
        <v>583</v>
      </c>
      <c r="D15" s="240" t="s">
        <v>584</v>
      </c>
      <c r="E15" s="349" t="s">
        <v>384</v>
      </c>
      <c r="F15" s="350">
        <f>MICH_Calendario!F19</f>
        <v>410432.17</v>
      </c>
      <c r="G15" s="351">
        <f t="shared" si="3"/>
        <v>34202.680833333332</v>
      </c>
      <c r="H15" s="65">
        <f ca="1">MICH_Calendario!T19</f>
        <v>307827</v>
      </c>
      <c r="I15" s="65">
        <f>MICH_Calendario!T20</f>
        <v>0</v>
      </c>
      <c r="J15" s="73">
        <f t="shared" ca="1" si="0"/>
        <v>307827</v>
      </c>
      <c r="K15" s="74">
        <f t="shared" ca="1" si="1"/>
        <v>100</v>
      </c>
      <c r="L15" s="75">
        <f t="shared" ca="1" si="2"/>
        <v>0</v>
      </c>
      <c r="M15" s="352" t="s">
        <v>995</v>
      </c>
      <c r="O15" s="192"/>
      <c r="P15" s="279"/>
      <c r="Q15" s="434"/>
      <c r="R15" s="434"/>
    </row>
    <row r="16" spans="1:18" ht="49.5" customHeight="1" x14ac:dyDescent="0.25">
      <c r="A16" s="159">
        <v>175904</v>
      </c>
      <c r="B16" s="311">
        <v>380200</v>
      </c>
      <c r="C16" s="268" t="s">
        <v>579</v>
      </c>
      <c r="D16" s="442" t="s">
        <v>585</v>
      </c>
      <c r="E16" s="443" t="s">
        <v>196</v>
      </c>
      <c r="F16" s="350">
        <f>MICH_Calendario!F21</f>
        <v>348000</v>
      </c>
      <c r="G16" s="360">
        <f t="shared" si="3"/>
        <v>29000</v>
      </c>
      <c r="H16" s="65">
        <f ca="1">MICH_Calendario!T21</f>
        <v>261000</v>
      </c>
      <c r="I16" s="65">
        <f>MICH_Calendario!T22</f>
        <v>215999.91999999998</v>
      </c>
      <c r="J16" s="224">
        <f t="shared" ca="1" si="0"/>
        <v>45000.080000000016</v>
      </c>
      <c r="K16" s="361">
        <f t="shared" ca="1" si="1"/>
        <v>17.241409961685829</v>
      </c>
      <c r="L16" s="239">
        <f t="shared" ca="1" si="2"/>
        <v>82.758590038314168</v>
      </c>
      <c r="M16" s="352" t="s">
        <v>318</v>
      </c>
      <c r="O16" s="192"/>
      <c r="P16" s="279"/>
      <c r="Q16" s="434"/>
      <c r="R16" s="434"/>
    </row>
    <row r="17" spans="1:19" ht="28.5" x14ac:dyDescent="0.25">
      <c r="A17" s="159">
        <v>175901</v>
      </c>
      <c r="B17" s="311">
        <v>380200</v>
      </c>
      <c r="C17" s="268" t="s">
        <v>586</v>
      </c>
      <c r="D17" s="135" t="s">
        <v>587</v>
      </c>
      <c r="E17" s="311" t="s">
        <v>588</v>
      </c>
      <c r="F17" s="350">
        <f>MICH_Calendario!F23</f>
        <v>730800</v>
      </c>
      <c r="G17" s="351">
        <f t="shared" si="3"/>
        <v>60900</v>
      </c>
      <c r="H17" s="65">
        <f ca="1">MICH_Calendario!T23</f>
        <v>548100</v>
      </c>
      <c r="I17" s="65">
        <f>MICH_Calendario!T24</f>
        <v>480899.74</v>
      </c>
      <c r="J17" s="73">
        <f t="shared" ca="1" si="0"/>
        <v>67200.260000000009</v>
      </c>
      <c r="K17" s="74">
        <f t="shared" ca="1" si="1"/>
        <v>12.260583835066594</v>
      </c>
      <c r="L17" s="75">
        <f t="shared" ca="1" si="2"/>
        <v>87.739416164933402</v>
      </c>
      <c r="M17" s="352" t="s">
        <v>318</v>
      </c>
      <c r="O17" s="192"/>
      <c r="P17" s="279"/>
      <c r="Q17" s="434"/>
      <c r="R17" s="434"/>
    </row>
    <row r="18" spans="1:19" ht="48" customHeight="1" thickBot="1" x14ac:dyDescent="0.3">
      <c r="A18" s="444">
        <v>178102</v>
      </c>
      <c r="B18" s="349">
        <v>150100</v>
      </c>
      <c r="C18" s="268" t="s">
        <v>589</v>
      </c>
      <c r="D18" s="143" t="s">
        <v>590</v>
      </c>
      <c r="E18" s="354" t="s">
        <v>591</v>
      </c>
      <c r="F18" s="350">
        <f>MICH_Calendario!F25</f>
        <v>884616</v>
      </c>
      <c r="G18" s="356">
        <f t="shared" si="3"/>
        <v>73718</v>
      </c>
      <c r="H18" s="65">
        <f ca="1">MICH_Calendario!T25</f>
        <v>663462</v>
      </c>
      <c r="I18" s="65">
        <f>MICH_Calendario!T26</f>
        <v>663461.48</v>
      </c>
      <c r="J18" s="81">
        <f t="shared" ca="1" si="0"/>
        <v>0.52000000001862645</v>
      </c>
      <c r="K18" s="82">
        <f t="shared" ca="1" si="1"/>
        <v>7.8376757074048929E-5</v>
      </c>
      <c r="L18" s="83">
        <f t="shared" ca="1" si="2"/>
        <v>99.999921623242926</v>
      </c>
      <c r="M18" s="352" t="s">
        <v>778</v>
      </c>
      <c r="O18" s="192"/>
      <c r="P18" s="279"/>
      <c r="Q18" s="434"/>
      <c r="R18" s="434"/>
    </row>
    <row r="19" spans="1:19" ht="71.25" hidden="1" customHeight="1" thickBot="1" x14ac:dyDescent="0.3">
      <c r="A19" s="445">
        <v>179001</v>
      </c>
      <c r="B19" s="446" t="s">
        <v>37</v>
      </c>
      <c r="C19" s="411" t="s">
        <v>586</v>
      </c>
      <c r="D19" s="212" t="s">
        <v>592</v>
      </c>
      <c r="E19" s="447" t="s">
        <v>180</v>
      </c>
      <c r="F19" s="402"/>
      <c r="G19" s="130"/>
      <c r="H19" s="285"/>
      <c r="I19" s="286"/>
      <c r="J19" s="218">
        <f>+I19-H19</f>
        <v>0</v>
      </c>
      <c r="K19" s="403" t="e">
        <f t="shared" si="1"/>
        <v>#DIV/0!</v>
      </c>
      <c r="L19" s="404" t="e">
        <f t="shared" si="2"/>
        <v>#DIV/0!</v>
      </c>
      <c r="M19" s="448"/>
      <c r="O19" s="192"/>
      <c r="P19" s="279"/>
      <c r="Q19" s="434"/>
      <c r="R19" s="434"/>
    </row>
    <row r="20" spans="1:19" ht="15.75" thickBot="1" x14ac:dyDescent="0.3">
      <c r="A20" s="4"/>
      <c r="B20" s="40">
        <v>7</v>
      </c>
      <c r="C20" s="24">
        <f>COUNT(#REF!)</f>
        <v>0</v>
      </c>
      <c r="D20" s="7"/>
      <c r="E20" s="6"/>
      <c r="F20" s="32">
        <f>SUM(F12:F19)</f>
        <v>4809848.17</v>
      </c>
      <c r="G20" s="32">
        <f>SUM(G12:G19)</f>
        <v>400820.68083333335</v>
      </c>
      <c r="H20" s="32">
        <f ca="1">SUM(H12:H19)</f>
        <v>3607389</v>
      </c>
      <c r="I20" s="32">
        <f>SUM(I12:I19)</f>
        <v>2660360.4799999995</v>
      </c>
      <c r="J20" s="32">
        <f ca="1">SUM(J12:J19)</f>
        <v>947028.52</v>
      </c>
      <c r="K20" s="150">
        <f t="shared" ca="1" si="1"/>
        <v>26.252464594198187</v>
      </c>
      <c r="L20" s="151">
        <f t="shared" ca="1" si="2"/>
        <v>73.747535405801798</v>
      </c>
      <c r="M20" s="5"/>
      <c r="O20" s="279"/>
      <c r="P20" s="279"/>
      <c r="Q20" s="434"/>
      <c r="R20" s="434"/>
    </row>
    <row r="21" spans="1:19" ht="31.5" customHeight="1" x14ac:dyDescent="0.25">
      <c r="F21" s="3"/>
      <c r="G21" s="3"/>
      <c r="H21" s="2"/>
      <c r="I21" s="2"/>
      <c r="J21" s="2"/>
      <c r="K21" s="2"/>
      <c r="L21" s="2"/>
      <c r="M21" s="70"/>
      <c r="O21" s="279"/>
      <c r="P21" s="279"/>
      <c r="Q21" s="434"/>
      <c r="R21" s="434"/>
    </row>
    <row r="22" spans="1:19" ht="21" customHeight="1" x14ac:dyDescent="0.25">
      <c r="F22" s="9"/>
      <c r="I22" s="9"/>
      <c r="M22" s="441"/>
      <c r="O22" s="279"/>
      <c r="P22" s="279"/>
      <c r="Q22" s="434"/>
      <c r="R22" s="434"/>
    </row>
    <row r="23" spans="1:19" x14ac:dyDescent="0.25">
      <c r="O23" s="279"/>
      <c r="P23" s="279"/>
      <c r="Q23" s="434"/>
      <c r="R23" s="434"/>
    </row>
    <row r="24" spans="1:19" x14ac:dyDescent="0.25">
      <c r="O24" s="279"/>
      <c r="P24" s="279"/>
      <c r="Q24" s="434"/>
      <c r="R24" s="434"/>
    </row>
    <row r="25" spans="1:19" x14ac:dyDescent="0.25">
      <c r="O25" s="279"/>
      <c r="P25" s="279"/>
      <c r="Q25" s="279"/>
      <c r="R25" s="279"/>
    </row>
    <row r="26" spans="1:19" x14ac:dyDescent="0.25">
      <c r="O26" s="279"/>
      <c r="P26" s="279"/>
      <c r="Q26" s="279"/>
      <c r="R26" s="434"/>
    </row>
    <row r="27" spans="1:19" x14ac:dyDescent="0.25">
      <c r="O27" s="279"/>
      <c r="P27" s="9"/>
      <c r="Q27" s="9"/>
      <c r="R27" s="9"/>
      <c r="S27" s="9"/>
    </row>
    <row r="28" spans="1:19" x14ac:dyDescent="0.25">
      <c r="O28" s="279"/>
      <c r="R28" s="9"/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8" fitToHeight="2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view="pageBreakPreview" zoomScale="87" zoomScaleNormal="100" zoomScaleSheetLayoutView="87" zoomScalePageLayoutView="80" workbookViewId="0">
      <pane xSplit="5" ySplit="12" topLeftCell="R24" activePane="bottomRight" state="frozen"/>
      <selection pane="topRight" activeCell="F1" sqref="F1"/>
      <selection pane="bottomLeft" activeCell="A12" sqref="A12"/>
      <selection pane="bottomRight" activeCell="U1" sqref="U1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5" customWidth="1"/>
    <col min="20" max="20" width="19.140625" customWidth="1"/>
    <col min="21" max="21" width="46.5703125" style="306" customWidth="1"/>
    <col min="22" max="22" width="5" hidden="1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436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378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136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F10" s="9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89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3.75" customHeight="1" thickTop="1" thickBot="1" x14ac:dyDescent="0.3">
      <c r="A13" s="308">
        <v>310203</v>
      </c>
      <c r="B13" s="154">
        <v>175303</v>
      </c>
      <c r="C13" s="268" t="s">
        <v>576</v>
      </c>
      <c r="D13" s="873" t="s">
        <v>577</v>
      </c>
      <c r="E13" s="943" t="s">
        <v>578</v>
      </c>
      <c r="F13" s="918">
        <f>SUM(H13:S13)</f>
        <v>417600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0</v>
      </c>
      <c r="K13" s="166">
        <f t="shared" si="0"/>
        <v>0</v>
      </c>
      <c r="L13" s="166">
        <f t="shared" si="0"/>
        <v>0</v>
      </c>
      <c r="M13" s="166">
        <f t="shared" si="0"/>
        <v>0</v>
      </c>
      <c r="N13" s="166">
        <f t="shared" si="0"/>
        <v>0</v>
      </c>
      <c r="O13" s="166">
        <f t="shared" si="0"/>
        <v>0</v>
      </c>
      <c r="P13" s="166">
        <f t="shared" si="0"/>
        <v>0</v>
      </c>
      <c r="Q13" s="166">
        <f t="shared" si="0"/>
        <v>313200</v>
      </c>
      <c r="R13" s="166">
        <f t="shared" si="0"/>
        <v>34800</v>
      </c>
      <c r="S13" s="166">
        <f t="shared" si="0"/>
        <v>69600</v>
      </c>
      <c r="T13" s="67">
        <f ca="1">SUM($H13:(OFFSET($H13,0,AVANCE060826!$T$2)))</f>
        <v>313200</v>
      </c>
      <c r="U13" s="979"/>
    </row>
    <row r="14" spans="1:21" ht="39" customHeight="1" thickTop="1" x14ac:dyDescent="0.25">
      <c r="A14" s="308">
        <v>310203</v>
      </c>
      <c r="B14" s="154">
        <v>175303</v>
      </c>
      <c r="C14" s="268"/>
      <c r="D14" s="873"/>
      <c r="E14" s="943"/>
      <c r="F14" s="918"/>
      <c r="G14" s="166" t="s">
        <v>53</v>
      </c>
      <c r="H14" s="166"/>
      <c r="I14" s="166">
        <f t="shared" ref="I14:S14" si="1">VLOOKUP($A14&amp;$B14&amp;I$10,Base,9,FALSE)</f>
        <v>0</v>
      </c>
      <c r="J14" s="166">
        <f t="shared" si="1"/>
        <v>0</v>
      </c>
      <c r="K14" s="166">
        <f t="shared" si="1"/>
        <v>0</v>
      </c>
      <c r="L14" s="166">
        <f t="shared" si="1"/>
        <v>0</v>
      </c>
      <c r="M14" s="166">
        <f t="shared" si="1"/>
        <v>0</v>
      </c>
      <c r="N14" s="166">
        <f t="shared" si="1"/>
        <v>0</v>
      </c>
      <c r="O14" s="166">
        <f t="shared" si="1"/>
        <v>0</v>
      </c>
      <c r="P14" s="166">
        <f t="shared" si="1"/>
        <v>0</v>
      </c>
      <c r="Q14" s="166">
        <f t="shared" si="1"/>
        <v>0</v>
      </c>
      <c r="R14" s="166">
        <f t="shared" si="1"/>
        <v>0</v>
      </c>
      <c r="S14" s="166">
        <f t="shared" si="1"/>
        <v>0</v>
      </c>
      <c r="T14" s="67">
        <f t="shared" ref="T14:T26" si="2">SUM(H14:S14)</f>
        <v>0</v>
      </c>
      <c r="U14" s="980"/>
    </row>
    <row r="15" spans="1:21" ht="33.75" customHeight="1" x14ac:dyDescent="0.25">
      <c r="A15" s="311">
        <v>900110</v>
      </c>
      <c r="B15" s="159">
        <v>179103</v>
      </c>
      <c r="C15" s="344" t="s">
        <v>579</v>
      </c>
      <c r="D15" s="873" t="s">
        <v>580</v>
      </c>
      <c r="E15" s="943" t="s">
        <v>190</v>
      </c>
      <c r="F15" s="918">
        <f>SUM(H15:S15)</f>
        <v>696000</v>
      </c>
      <c r="G15" s="166" t="s">
        <v>52</v>
      </c>
      <c r="H15" s="166"/>
      <c r="I15" s="166">
        <f t="shared" ref="I15:S15" si="3">VLOOKUP($A15&amp;$B15&amp;I$10,Base,8,FALSE)</f>
        <v>0</v>
      </c>
      <c r="J15" s="166">
        <f t="shared" si="3"/>
        <v>0</v>
      </c>
      <c r="K15" s="166">
        <f t="shared" si="3"/>
        <v>0</v>
      </c>
      <c r="L15" s="166">
        <f t="shared" si="3"/>
        <v>0</v>
      </c>
      <c r="M15" s="166">
        <f t="shared" si="3"/>
        <v>0</v>
      </c>
      <c r="N15" s="166">
        <f t="shared" si="3"/>
        <v>347999.82</v>
      </c>
      <c r="O15" s="166">
        <f t="shared" si="3"/>
        <v>57999.97</v>
      </c>
      <c r="P15" s="166">
        <f t="shared" si="3"/>
        <v>57999.97</v>
      </c>
      <c r="Q15" s="166">
        <f t="shared" si="3"/>
        <v>58000.24</v>
      </c>
      <c r="R15" s="166">
        <f t="shared" si="3"/>
        <v>58000</v>
      </c>
      <c r="S15" s="166">
        <f t="shared" si="3"/>
        <v>116000</v>
      </c>
      <c r="T15" s="67">
        <f ca="1">SUM($H15:(OFFSET($H15,0,AVANCE060826!$T$2)))</f>
        <v>522000</v>
      </c>
      <c r="U15" s="903"/>
    </row>
    <row r="16" spans="1:21" ht="33.75" customHeight="1" x14ac:dyDescent="0.25">
      <c r="A16" s="311">
        <v>900110</v>
      </c>
      <c r="B16" s="159">
        <v>179103</v>
      </c>
      <c r="C16" s="344"/>
      <c r="D16" s="873"/>
      <c r="E16" s="943"/>
      <c r="F16" s="918"/>
      <c r="G16" s="166" t="s">
        <v>53</v>
      </c>
      <c r="H16" s="166"/>
      <c r="I16" s="166">
        <f t="shared" ref="I16:S16" si="4">VLOOKUP($A16&amp;$B16&amp;I$10,Base,9,FALSE)</f>
        <v>0</v>
      </c>
      <c r="J16" s="166">
        <f t="shared" si="4"/>
        <v>0</v>
      </c>
      <c r="K16" s="166">
        <f t="shared" si="4"/>
        <v>0</v>
      </c>
      <c r="L16" s="166">
        <f t="shared" si="4"/>
        <v>0</v>
      </c>
      <c r="M16" s="166">
        <f t="shared" si="4"/>
        <v>0</v>
      </c>
      <c r="N16" s="166">
        <f t="shared" si="4"/>
        <v>347999.82</v>
      </c>
      <c r="O16" s="166">
        <f t="shared" si="4"/>
        <v>57999.97</v>
      </c>
      <c r="P16" s="166">
        <f t="shared" si="4"/>
        <v>57999.97</v>
      </c>
      <c r="Q16" s="166">
        <f t="shared" si="4"/>
        <v>0</v>
      </c>
      <c r="R16" s="166">
        <f t="shared" si="4"/>
        <v>0</v>
      </c>
      <c r="S16" s="166">
        <f t="shared" si="4"/>
        <v>0</v>
      </c>
      <c r="T16" s="67">
        <f t="shared" si="2"/>
        <v>463999.76</v>
      </c>
      <c r="U16" s="903"/>
    </row>
    <row r="17" spans="1:23" ht="33.75" customHeight="1" x14ac:dyDescent="0.25">
      <c r="A17" s="311">
        <v>900110</v>
      </c>
      <c r="B17" s="159">
        <v>179104</v>
      </c>
      <c r="C17" s="344" t="s">
        <v>581</v>
      </c>
      <c r="D17" s="873" t="s">
        <v>582</v>
      </c>
      <c r="E17" s="943" t="s">
        <v>190</v>
      </c>
      <c r="F17" s="918">
        <f>SUM(H17:S17)</f>
        <v>1322400</v>
      </c>
      <c r="G17" s="166" t="s">
        <v>52</v>
      </c>
      <c r="H17" s="166"/>
      <c r="I17" s="166">
        <f t="shared" ref="I17:S17" si="5">VLOOKUP($A17&amp;$B17&amp;I$10,Base,8,FALSE)</f>
        <v>0</v>
      </c>
      <c r="J17" s="166">
        <f t="shared" si="5"/>
        <v>0</v>
      </c>
      <c r="K17" s="166">
        <f t="shared" si="5"/>
        <v>0</v>
      </c>
      <c r="L17" s="166">
        <f t="shared" si="5"/>
        <v>0</v>
      </c>
      <c r="M17" s="166">
        <f t="shared" si="5"/>
        <v>0</v>
      </c>
      <c r="N17" s="166">
        <f t="shared" si="5"/>
        <v>615599.69999999995</v>
      </c>
      <c r="O17" s="166">
        <f t="shared" si="5"/>
        <v>110199.94</v>
      </c>
      <c r="P17" s="166">
        <f t="shared" si="5"/>
        <v>110199.94</v>
      </c>
      <c r="Q17" s="166">
        <f t="shared" si="5"/>
        <v>155800.42000000001</v>
      </c>
      <c r="R17" s="166">
        <f t="shared" si="5"/>
        <v>110200</v>
      </c>
      <c r="S17" s="166">
        <f t="shared" si="5"/>
        <v>220400</v>
      </c>
      <c r="T17" s="67">
        <f ca="1">SUM($H17:(OFFSET($H17,0,AVANCE060826!$T$2)))</f>
        <v>991799.99999999988</v>
      </c>
      <c r="U17" s="903"/>
    </row>
    <row r="18" spans="1:23" ht="33.75" customHeight="1" x14ac:dyDescent="0.25">
      <c r="A18" s="311">
        <v>900110</v>
      </c>
      <c r="B18" s="159">
        <v>179104</v>
      </c>
      <c r="C18" s="344"/>
      <c r="D18" s="873"/>
      <c r="E18" s="943"/>
      <c r="F18" s="918"/>
      <c r="G18" s="166" t="s">
        <v>53</v>
      </c>
      <c r="H18" s="166"/>
      <c r="I18" s="166">
        <f t="shared" ref="I18:S18" si="6">VLOOKUP($A18&amp;$B18&amp;I$10,Base,9,FALSE)</f>
        <v>0</v>
      </c>
      <c r="J18" s="166">
        <f t="shared" si="6"/>
        <v>0</v>
      </c>
      <c r="K18" s="166">
        <f t="shared" si="6"/>
        <v>0</v>
      </c>
      <c r="L18" s="166">
        <f t="shared" si="6"/>
        <v>0</v>
      </c>
      <c r="M18" s="166">
        <f t="shared" si="6"/>
        <v>0</v>
      </c>
      <c r="N18" s="166">
        <f t="shared" si="6"/>
        <v>615599.69999999995</v>
      </c>
      <c r="O18" s="166">
        <f t="shared" si="6"/>
        <v>110199.94</v>
      </c>
      <c r="P18" s="166">
        <f t="shared" si="6"/>
        <v>110199.94</v>
      </c>
      <c r="Q18" s="166">
        <f t="shared" si="6"/>
        <v>0</v>
      </c>
      <c r="R18" s="166">
        <f t="shared" si="6"/>
        <v>0</v>
      </c>
      <c r="S18" s="166">
        <f t="shared" si="6"/>
        <v>0</v>
      </c>
      <c r="T18" s="67">
        <f t="shared" si="2"/>
        <v>835999.57999999984</v>
      </c>
      <c r="U18" s="903"/>
    </row>
    <row r="19" spans="1:23" ht="33.75" customHeight="1" x14ac:dyDescent="0.25">
      <c r="A19" s="311">
        <v>900110</v>
      </c>
      <c r="B19" s="159">
        <v>179102</v>
      </c>
      <c r="C19" s="437" t="s">
        <v>583</v>
      </c>
      <c r="D19" s="873" t="s">
        <v>584</v>
      </c>
      <c r="E19" s="943" t="s">
        <v>384</v>
      </c>
      <c r="F19" s="918">
        <f>SUM(H19:S19)</f>
        <v>410432.17</v>
      </c>
      <c r="G19" s="166" t="s">
        <v>52</v>
      </c>
      <c r="H19" s="166"/>
      <c r="I19" s="166">
        <f t="shared" ref="I19:S19" si="7">VLOOKUP($A19&amp;$B19&amp;I$10,Base,8,FALSE)</f>
        <v>0</v>
      </c>
      <c r="J19" s="166">
        <f t="shared" si="7"/>
        <v>0</v>
      </c>
      <c r="K19" s="166">
        <f t="shared" si="7"/>
        <v>0</v>
      </c>
      <c r="L19" s="166">
        <f t="shared" si="7"/>
        <v>0</v>
      </c>
      <c r="M19" s="166">
        <f t="shared" si="7"/>
        <v>0</v>
      </c>
      <c r="N19" s="166">
        <f t="shared" si="7"/>
        <v>0</v>
      </c>
      <c r="O19" s="166">
        <f t="shared" si="7"/>
        <v>0</v>
      </c>
      <c r="P19" s="166">
        <f t="shared" si="7"/>
        <v>0</v>
      </c>
      <c r="Q19" s="166">
        <f t="shared" si="7"/>
        <v>307827</v>
      </c>
      <c r="R19" s="166">
        <f t="shared" si="7"/>
        <v>34203</v>
      </c>
      <c r="S19" s="166">
        <f t="shared" si="7"/>
        <v>68402.17</v>
      </c>
      <c r="T19" s="67">
        <f ca="1">SUM($H19:(OFFSET($H19,0,AVANCE060826!$T$2)))</f>
        <v>307827</v>
      </c>
      <c r="U19" s="903"/>
    </row>
    <row r="20" spans="1:23" ht="33.75" customHeight="1" x14ac:dyDescent="0.25">
      <c r="A20" s="311">
        <v>900110</v>
      </c>
      <c r="B20" s="159">
        <v>179102</v>
      </c>
      <c r="C20" s="437"/>
      <c r="D20" s="873"/>
      <c r="E20" s="943"/>
      <c r="F20" s="918"/>
      <c r="G20" s="166" t="s">
        <v>53</v>
      </c>
      <c r="H20" s="166"/>
      <c r="I20" s="166">
        <f t="shared" ref="I20:S20" si="8">VLOOKUP($A20&amp;$B20&amp;I$10,Base,9,FALSE)</f>
        <v>0</v>
      </c>
      <c r="J20" s="166">
        <f t="shared" si="8"/>
        <v>0</v>
      </c>
      <c r="K20" s="166">
        <f t="shared" si="8"/>
        <v>0</v>
      </c>
      <c r="L20" s="166">
        <f t="shared" si="8"/>
        <v>0</v>
      </c>
      <c r="M20" s="166">
        <f t="shared" si="8"/>
        <v>0</v>
      </c>
      <c r="N20" s="166">
        <f t="shared" si="8"/>
        <v>0</v>
      </c>
      <c r="O20" s="166">
        <f t="shared" si="8"/>
        <v>0</v>
      </c>
      <c r="P20" s="166">
        <f t="shared" si="8"/>
        <v>0</v>
      </c>
      <c r="Q20" s="166">
        <f t="shared" si="8"/>
        <v>0</v>
      </c>
      <c r="R20" s="166">
        <f t="shared" si="8"/>
        <v>0</v>
      </c>
      <c r="S20" s="166">
        <f t="shared" si="8"/>
        <v>0</v>
      </c>
      <c r="T20" s="67">
        <f t="shared" si="2"/>
        <v>0</v>
      </c>
      <c r="U20" s="903"/>
    </row>
    <row r="21" spans="1:23" ht="33.75" customHeight="1" x14ac:dyDescent="0.25">
      <c r="A21" s="311">
        <v>380200</v>
      </c>
      <c r="B21" s="159">
        <v>175904</v>
      </c>
      <c r="C21" s="268" t="s">
        <v>579</v>
      </c>
      <c r="D21" s="873" t="s">
        <v>585</v>
      </c>
      <c r="E21" s="943" t="s">
        <v>196</v>
      </c>
      <c r="F21" s="918">
        <f>SUM(H21:S21)</f>
        <v>348000</v>
      </c>
      <c r="G21" s="166" t="s">
        <v>52</v>
      </c>
      <c r="H21" s="166"/>
      <c r="I21" s="166">
        <f t="shared" ref="I21:S21" si="9">VLOOKUP($A21&amp;$B21&amp;I$10,Base,8,FALSE)</f>
        <v>0</v>
      </c>
      <c r="J21" s="166">
        <f t="shared" si="9"/>
        <v>0</v>
      </c>
      <c r="K21" s="166">
        <f t="shared" si="9"/>
        <v>0</v>
      </c>
      <c r="L21" s="166">
        <f t="shared" si="9"/>
        <v>0</v>
      </c>
      <c r="M21" s="166">
        <f t="shared" si="9"/>
        <v>0</v>
      </c>
      <c r="N21" s="166">
        <f t="shared" si="9"/>
        <v>165999.94</v>
      </c>
      <c r="O21" s="166">
        <f t="shared" si="9"/>
        <v>24999.99</v>
      </c>
      <c r="P21" s="166">
        <f t="shared" si="9"/>
        <v>24999.99</v>
      </c>
      <c r="Q21" s="166">
        <f t="shared" si="9"/>
        <v>45000.08</v>
      </c>
      <c r="R21" s="166">
        <f t="shared" si="9"/>
        <v>29000</v>
      </c>
      <c r="S21" s="166">
        <f t="shared" si="9"/>
        <v>58000</v>
      </c>
      <c r="T21" s="67">
        <f ca="1">SUM($H21:(OFFSET($H21,0,AVANCE060826!$T$2)))</f>
        <v>261000</v>
      </c>
      <c r="U21" s="903"/>
    </row>
    <row r="22" spans="1:23" ht="33.75" customHeight="1" x14ac:dyDescent="0.25">
      <c r="A22" s="311">
        <v>380200</v>
      </c>
      <c r="B22" s="159">
        <v>175904</v>
      </c>
      <c r="C22" s="268"/>
      <c r="D22" s="873"/>
      <c r="E22" s="943"/>
      <c r="F22" s="918"/>
      <c r="G22" s="166" t="s">
        <v>53</v>
      </c>
      <c r="H22" s="166"/>
      <c r="I22" s="166">
        <f t="shared" ref="I22:S22" si="10">VLOOKUP($A22&amp;$B22&amp;I$10,Base,9,FALSE)</f>
        <v>0</v>
      </c>
      <c r="J22" s="166">
        <f t="shared" si="10"/>
        <v>0</v>
      </c>
      <c r="K22" s="166">
        <f t="shared" si="10"/>
        <v>0</v>
      </c>
      <c r="L22" s="166">
        <f t="shared" si="10"/>
        <v>0</v>
      </c>
      <c r="M22" s="166">
        <f t="shared" si="10"/>
        <v>0</v>
      </c>
      <c r="N22" s="166">
        <f t="shared" si="10"/>
        <v>165999.94</v>
      </c>
      <c r="O22" s="166">
        <f t="shared" si="10"/>
        <v>24999.99</v>
      </c>
      <c r="P22" s="166">
        <f t="shared" si="10"/>
        <v>24999.99</v>
      </c>
      <c r="Q22" s="166">
        <f t="shared" si="10"/>
        <v>0</v>
      </c>
      <c r="R22" s="166">
        <f t="shared" si="10"/>
        <v>0</v>
      </c>
      <c r="S22" s="166">
        <f t="shared" si="10"/>
        <v>0</v>
      </c>
      <c r="T22" s="67">
        <f t="shared" si="2"/>
        <v>215999.91999999998</v>
      </c>
      <c r="U22" s="903"/>
    </row>
    <row r="23" spans="1:23" ht="33.75" customHeight="1" x14ac:dyDescent="0.25">
      <c r="A23" s="311">
        <v>380200</v>
      </c>
      <c r="B23" s="159">
        <v>175901</v>
      </c>
      <c r="C23" s="268" t="s">
        <v>586</v>
      </c>
      <c r="D23" s="873" t="s">
        <v>587</v>
      </c>
      <c r="E23" s="943" t="s">
        <v>588</v>
      </c>
      <c r="F23" s="918">
        <f>SUM(H23:S23)</f>
        <v>730800</v>
      </c>
      <c r="G23" s="166" t="s">
        <v>52</v>
      </c>
      <c r="H23" s="166"/>
      <c r="I23" s="166">
        <f t="shared" ref="I23:S23" si="11">VLOOKUP($A23&amp;$B23&amp;I$10,Base,8,FALSE)</f>
        <v>0</v>
      </c>
      <c r="J23" s="166">
        <f t="shared" si="11"/>
        <v>0</v>
      </c>
      <c r="K23" s="166">
        <f t="shared" si="11"/>
        <v>0</v>
      </c>
      <c r="L23" s="166">
        <f t="shared" si="11"/>
        <v>0</v>
      </c>
      <c r="M23" s="166">
        <f t="shared" si="11"/>
        <v>0</v>
      </c>
      <c r="N23" s="166">
        <f t="shared" si="11"/>
        <v>323399.81</v>
      </c>
      <c r="O23" s="166">
        <f t="shared" si="11"/>
        <v>0</v>
      </c>
      <c r="P23" s="166">
        <f t="shared" si="11"/>
        <v>104999.95</v>
      </c>
      <c r="Q23" s="166">
        <f t="shared" si="11"/>
        <v>119700.24</v>
      </c>
      <c r="R23" s="166">
        <f t="shared" si="11"/>
        <v>60900</v>
      </c>
      <c r="S23" s="166">
        <f t="shared" si="11"/>
        <v>121800</v>
      </c>
      <c r="T23" s="67">
        <f ca="1">SUM($H23:(OFFSET($H23,0,AVANCE060826!$T$2)))</f>
        <v>548100</v>
      </c>
      <c r="U23" s="903"/>
    </row>
    <row r="24" spans="1:23" ht="33.75" customHeight="1" x14ac:dyDescent="0.25">
      <c r="A24" s="311">
        <v>380200</v>
      </c>
      <c r="B24" s="159">
        <v>175901</v>
      </c>
      <c r="C24" s="268"/>
      <c r="D24" s="873"/>
      <c r="E24" s="943"/>
      <c r="F24" s="918"/>
      <c r="G24" s="166" t="s">
        <v>53</v>
      </c>
      <c r="H24" s="166"/>
      <c r="I24" s="166">
        <f t="shared" ref="I24:S24" si="12">VLOOKUP($A24&amp;$B24&amp;I$10,Base,9,FALSE)</f>
        <v>0</v>
      </c>
      <c r="J24" s="166">
        <f t="shared" si="12"/>
        <v>0</v>
      </c>
      <c r="K24" s="166">
        <f t="shared" si="12"/>
        <v>0</v>
      </c>
      <c r="L24" s="166">
        <f t="shared" si="12"/>
        <v>0</v>
      </c>
      <c r="M24" s="166">
        <f t="shared" si="12"/>
        <v>0</v>
      </c>
      <c r="N24" s="166">
        <f t="shared" si="12"/>
        <v>323399.81</v>
      </c>
      <c r="O24" s="166">
        <f t="shared" si="12"/>
        <v>0</v>
      </c>
      <c r="P24" s="166">
        <f t="shared" si="12"/>
        <v>104999.95</v>
      </c>
      <c r="Q24" s="166">
        <f t="shared" si="12"/>
        <v>52499.98</v>
      </c>
      <c r="R24" s="166">
        <f t="shared" si="12"/>
        <v>0</v>
      </c>
      <c r="S24" s="166">
        <f t="shared" si="12"/>
        <v>0</v>
      </c>
      <c r="T24" s="67">
        <f t="shared" si="2"/>
        <v>480899.74</v>
      </c>
      <c r="U24" s="903"/>
    </row>
    <row r="25" spans="1:23" ht="33.75" customHeight="1" x14ac:dyDescent="0.25">
      <c r="A25" s="738">
        <v>150904</v>
      </c>
      <c r="B25" s="313">
        <v>178102</v>
      </c>
      <c r="C25" s="268" t="s">
        <v>589</v>
      </c>
      <c r="D25" s="873" t="s">
        <v>590</v>
      </c>
      <c r="E25" s="943" t="s">
        <v>591</v>
      </c>
      <c r="F25" s="918">
        <f>SUM(H25:S25)</f>
        <v>884616</v>
      </c>
      <c r="G25" s="166" t="s">
        <v>52</v>
      </c>
      <c r="H25" s="166"/>
      <c r="I25" s="166">
        <f t="shared" ref="I25:S25" si="13">VLOOKUP($A25&amp;$B25&amp;I$10,Base,8,FALSE)</f>
        <v>0</v>
      </c>
      <c r="J25" s="166">
        <f t="shared" si="13"/>
        <v>0</v>
      </c>
      <c r="K25" s="166">
        <f t="shared" si="13"/>
        <v>0</v>
      </c>
      <c r="L25" s="166">
        <f t="shared" si="13"/>
        <v>0</v>
      </c>
      <c r="M25" s="166">
        <f t="shared" si="13"/>
        <v>0</v>
      </c>
      <c r="N25" s="166">
        <f t="shared" si="13"/>
        <v>442307.27</v>
      </c>
      <c r="O25" s="166">
        <f t="shared" si="13"/>
        <v>73718.070000000007</v>
      </c>
      <c r="P25" s="166">
        <f t="shared" si="13"/>
        <v>73718.070000000007</v>
      </c>
      <c r="Q25" s="166">
        <f t="shared" si="13"/>
        <v>73718.59</v>
      </c>
      <c r="R25" s="166">
        <f t="shared" si="13"/>
        <v>73718</v>
      </c>
      <c r="S25" s="166">
        <f t="shared" si="13"/>
        <v>147436</v>
      </c>
      <c r="T25" s="67">
        <f ca="1">SUM($H25:(OFFSET($H25,0,AVANCE060826!$T$2)))</f>
        <v>663462</v>
      </c>
      <c r="U25" s="903"/>
      <c r="W25" s="9"/>
    </row>
    <row r="26" spans="1:23" ht="33.75" customHeight="1" x14ac:dyDescent="0.25">
      <c r="A26" s="738">
        <v>150904</v>
      </c>
      <c r="B26" s="313">
        <v>178102</v>
      </c>
      <c r="C26" s="348"/>
      <c r="D26" s="873"/>
      <c r="E26" s="943"/>
      <c r="F26" s="918"/>
      <c r="G26" s="166" t="s">
        <v>53</v>
      </c>
      <c r="H26" s="166"/>
      <c r="I26" s="166">
        <f t="shared" ref="I26:S26" si="14">VLOOKUP($A26&amp;$B26&amp;I$10,Base,9,FALSE)</f>
        <v>0</v>
      </c>
      <c r="J26" s="166">
        <f t="shared" si="14"/>
        <v>0</v>
      </c>
      <c r="K26" s="166">
        <f t="shared" si="14"/>
        <v>0</v>
      </c>
      <c r="L26" s="166">
        <f t="shared" si="14"/>
        <v>0</v>
      </c>
      <c r="M26" s="166">
        <f t="shared" si="14"/>
        <v>0</v>
      </c>
      <c r="N26" s="166">
        <f t="shared" si="14"/>
        <v>442307.27</v>
      </c>
      <c r="O26" s="166">
        <f t="shared" si="14"/>
        <v>73718.070000000007</v>
      </c>
      <c r="P26" s="166">
        <f t="shared" si="14"/>
        <v>73718.070000000007</v>
      </c>
      <c r="Q26" s="166">
        <f t="shared" si="14"/>
        <v>73718.070000000007</v>
      </c>
      <c r="R26" s="166">
        <f t="shared" si="14"/>
        <v>0</v>
      </c>
      <c r="S26" s="166">
        <f t="shared" si="14"/>
        <v>0</v>
      </c>
      <c r="T26" s="67">
        <f t="shared" si="2"/>
        <v>663461.48</v>
      </c>
      <c r="U26" s="903"/>
      <c r="W26" s="9"/>
    </row>
    <row r="27" spans="1:23" x14ac:dyDescent="0.25">
      <c r="A27" s="40">
        <v>7</v>
      </c>
      <c r="B27" s="4"/>
      <c r="C27" s="24">
        <f>COUNT(#REF!)</f>
        <v>0</v>
      </c>
      <c r="D27" s="174"/>
      <c r="E27" s="175"/>
      <c r="F27" s="176">
        <f>SUM(F13:F26)</f>
        <v>4809848.17</v>
      </c>
      <c r="G27" s="166" t="s">
        <v>52</v>
      </c>
      <c r="H27" s="176">
        <f>+H13+H15+H17+H19+H21+H23+H25</f>
        <v>0</v>
      </c>
      <c r="I27" s="176">
        <f t="shared" ref="I27:T27" si="15">+I13+I15+I17+I19+I21+I23+I25</f>
        <v>0</v>
      </c>
      <c r="J27" s="176">
        <f t="shared" si="15"/>
        <v>0</v>
      </c>
      <c r="K27" s="176">
        <f t="shared" si="15"/>
        <v>0</v>
      </c>
      <c r="L27" s="176">
        <f t="shared" si="15"/>
        <v>0</v>
      </c>
      <c r="M27" s="176">
        <f t="shared" si="15"/>
        <v>0</v>
      </c>
      <c r="N27" s="176">
        <f t="shared" ref="N27:S27" si="16">+N13+N15+N17+N19+N21+N23+N25</f>
        <v>1895306.54</v>
      </c>
      <c r="O27" s="176">
        <f t="shared" si="16"/>
        <v>266917.96999999997</v>
      </c>
      <c r="P27" s="176">
        <f t="shared" si="16"/>
        <v>371917.92</v>
      </c>
      <c r="Q27" s="176">
        <f t="shared" si="16"/>
        <v>1073246.57</v>
      </c>
      <c r="R27" s="176">
        <f t="shared" si="16"/>
        <v>400821</v>
      </c>
      <c r="S27" s="176">
        <f t="shared" si="16"/>
        <v>801638.16999999993</v>
      </c>
      <c r="T27" s="176">
        <f t="shared" ca="1" si="15"/>
        <v>3607389</v>
      </c>
      <c r="U27" s="438"/>
    </row>
    <row r="28" spans="1:23" ht="31.5" customHeight="1" x14ac:dyDescent="0.25">
      <c r="D28" s="178"/>
      <c r="E28" s="439"/>
      <c r="F28" s="186"/>
      <c r="G28" s="166" t="s">
        <v>53</v>
      </c>
      <c r="H28" s="176">
        <f t="shared" ref="H28:T28" si="17">+H14+H16+H18+H20+H22+H24+H26</f>
        <v>0</v>
      </c>
      <c r="I28" s="176">
        <f t="shared" si="17"/>
        <v>0</v>
      </c>
      <c r="J28" s="176">
        <f t="shared" si="17"/>
        <v>0</v>
      </c>
      <c r="K28" s="176">
        <f t="shared" si="17"/>
        <v>0</v>
      </c>
      <c r="L28" s="176">
        <f t="shared" si="17"/>
        <v>0</v>
      </c>
      <c r="M28" s="176">
        <f t="shared" si="17"/>
        <v>0</v>
      </c>
      <c r="N28" s="176">
        <f t="shared" ref="N28:S28" si="18">+N14+N16+N18+N20+N22+N24+N26</f>
        <v>1895306.54</v>
      </c>
      <c r="O28" s="176">
        <f t="shared" si="18"/>
        <v>266917.96999999997</v>
      </c>
      <c r="P28" s="176">
        <f t="shared" si="18"/>
        <v>371917.92</v>
      </c>
      <c r="Q28" s="176">
        <f t="shared" si="18"/>
        <v>126218.05000000002</v>
      </c>
      <c r="R28" s="176">
        <f t="shared" si="18"/>
        <v>0</v>
      </c>
      <c r="S28" s="176">
        <f t="shared" si="18"/>
        <v>0</v>
      </c>
      <c r="T28" s="176">
        <f t="shared" si="17"/>
        <v>2660360.4799999995</v>
      </c>
      <c r="U28" s="440"/>
    </row>
    <row r="29" spans="1:23" ht="21" customHeight="1" x14ac:dyDescent="0.25">
      <c r="T29" s="9"/>
      <c r="U29" s="441"/>
    </row>
  </sheetData>
  <autoFilter ref="B12:B29"/>
  <mergeCells count="48">
    <mergeCell ref="U23:U24"/>
    <mergeCell ref="D25:D26"/>
    <mergeCell ref="E25:E26"/>
    <mergeCell ref="F25:F26"/>
    <mergeCell ref="U25:U26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8" fitToHeight="21" orientation="landscape" r:id="rId1"/>
  <ignoredErrors>
    <ignoredError sqref="T14:T24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showGridLines="0" zoomScaleNormal="100" zoomScaleSheetLayoutView="85" zoomScalePageLayoutView="80" workbookViewId="0">
      <pane xSplit="2" ySplit="11" topLeftCell="G12" activePane="bottomRight" state="frozen"/>
      <selection pane="topRight" activeCell="C1" sqref="C1"/>
      <selection pane="bottomLeft" activeCell="A12" sqref="A12"/>
      <selection pane="bottomRight" activeCell="N12" sqref="N12:N13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6.85546875" customWidth="1"/>
    <col min="8" max="8" width="19.140625" customWidth="1"/>
    <col min="9" max="9" width="16.7109375" customWidth="1"/>
    <col min="10" max="10" width="16.85546875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137</v>
      </c>
      <c r="G8" s="9"/>
      <c r="H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67"/>
    </row>
    <row r="12" spans="1:13" ht="48.75" customHeight="1" thickTop="1" x14ac:dyDescent="0.25">
      <c r="A12" s="154">
        <v>182421</v>
      </c>
      <c r="B12" s="308">
        <v>200200</v>
      </c>
      <c r="C12" s="449" t="s">
        <v>594</v>
      </c>
      <c r="D12" s="240" t="s">
        <v>595</v>
      </c>
      <c r="E12" s="452" t="s">
        <v>596</v>
      </c>
      <c r="F12" s="350">
        <f>MOR_Calendario!F13</f>
        <v>118320</v>
      </c>
      <c r="G12" s="75">
        <f>+F12/12</f>
        <v>9860</v>
      </c>
      <c r="H12" s="65">
        <f ca="1">MOR_Calendario!T13</f>
        <v>88740</v>
      </c>
      <c r="I12" s="65">
        <f>MOR_Calendario!T14</f>
        <v>78737.899999999994</v>
      </c>
      <c r="J12" s="73">
        <f ca="1">H12-I12</f>
        <v>10002.100000000006</v>
      </c>
      <c r="K12" s="74">
        <f ca="1">+J12/H12*100</f>
        <v>11.271241830065366</v>
      </c>
      <c r="L12" s="75">
        <f ca="1">+I12/H12*100</f>
        <v>88.728758169934636</v>
      </c>
      <c r="M12" s="453" t="s">
        <v>976</v>
      </c>
    </row>
    <row r="13" spans="1:13" ht="50.25" customHeight="1" thickBot="1" x14ac:dyDescent="0.3">
      <c r="A13" s="159">
        <v>182419</v>
      </c>
      <c r="B13" s="311">
        <v>200200</v>
      </c>
      <c r="C13" s="268" t="s">
        <v>597</v>
      </c>
      <c r="D13" s="143" t="s">
        <v>598</v>
      </c>
      <c r="E13" s="454" t="s">
        <v>599</v>
      </c>
      <c r="F13" s="350">
        <f>MOR_Calendario!F15</f>
        <v>119950.56</v>
      </c>
      <c r="G13" s="83">
        <f>+F13/12</f>
        <v>9995.8799999999992</v>
      </c>
      <c r="H13" s="65">
        <f ca="1">MOR_Calendario!T15</f>
        <v>89964</v>
      </c>
      <c r="I13" s="65">
        <f>MOR_Calendario!T16</f>
        <v>79967.039999999994</v>
      </c>
      <c r="J13" s="81">
        <f ca="1">H13-I13</f>
        <v>9996.9600000000064</v>
      </c>
      <c r="K13" s="82">
        <f ca="1">+J13/H13*100</f>
        <v>11.112178204615187</v>
      </c>
      <c r="L13" s="83">
        <f ca="1">+I13/H13*100</f>
        <v>88.887821795384809</v>
      </c>
      <c r="M13" s="453" t="s">
        <v>976</v>
      </c>
    </row>
    <row r="14" spans="1:13" ht="62.25" hidden="1" customHeight="1" x14ac:dyDescent="0.25">
      <c r="A14" s="313">
        <v>185901</v>
      </c>
      <c r="B14" s="311">
        <v>380200</v>
      </c>
      <c r="C14" s="268" t="s">
        <v>600</v>
      </c>
      <c r="D14" s="357" t="s">
        <v>601</v>
      </c>
      <c r="E14" s="456" t="s">
        <v>196</v>
      </c>
      <c r="F14" s="457"/>
      <c r="G14" s="239"/>
      <c r="H14" s="127">
        <f>+[38]MOR!$T$16</f>
        <v>0</v>
      </c>
      <c r="I14" s="124">
        <f>+[38]MOR!$T$17</f>
        <v>0</v>
      </c>
      <c r="J14" s="224">
        <f>+I14-H14</f>
        <v>0</v>
      </c>
      <c r="K14" s="361" t="e">
        <f>+J14/H14*100</f>
        <v>#DIV/0!</v>
      </c>
      <c r="L14" s="239" t="e">
        <f>+I14/H14*100</f>
        <v>#DIV/0!</v>
      </c>
      <c r="M14" s="458" t="s">
        <v>604</v>
      </c>
    </row>
    <row r="15" spans="1:13" ht="43.5" hidden="1" thickBot="1" x14ac:dyDescent="0.3">
      <c r="A15" s="313">
        <v>189001</v>
      </c>
      <c r="B15" s="311">
        <v>50100</v>
      </c>
      <c r="C15" s="268" t="s">
        <v>600</v>
      </c>
      <c r="D15" s="143" t="s">
        <v>602</v>
      </c>
      <c r="E15" s="454" t="s">
        <v>180</v>
      </c>
      <c r="F15" s="355"/>
      <c r="G15" s="83"/>
      <c r="H15" s="128">
        <f>+[39]MOR!$T$18</f>
        <v>0</v>
      </c>
      <c r="I15" s="69">
        <f>+[39]MOR!$T$19</f>
        <v>0</v>
      </c>
      <c r="J15" s="81">
        <f>+I15-H15</f>
        <v>0</v>
      </c>
      <c r="K15" s="82" t="e">
        <f>+J15/H15*100</f>
        <v>#DIV/0!</v>
      </c>
      <c r="L15" s="83" t="e">
        <f>+I15/H15*100</f>
        <v>#DIV/0!</v>
      </c>
      <c r="M15" s="455" t="s">
        <v>605</v>
      </c>
    </row>
    <row r="16" spans="1:13" ht="15.75" thickBot="1" x14ac:dyDescent="0.3">
      <c r="A16" s="4"/>
      <c r="B16" s="40">
        <v>2</v>
      </c>
      <c r="C16" s="24">
        <f>COUNT(#REF!)</f>
        <v>0</v>
      </c>
      <c r="D16" s="7"/>
      <c r="E16" s="6"/>
      <c r="F16" s="32">
        <f>SUM(F12:F15)</f>
        <v>238270.56</v>
      </c>
      <c r="G16" s="32">
        <f>SUM(G12:G15)</f>
        <v>19855.879999999997</v>
      </c>
      <c r="H16" s="32">
        <f ca="1">SUM(H12:H15)</f>
        <v>178704</v>
      </c>
      <c r="I16" s="32">
        <f>SUM(I12:I15)</f>
        <v>158704.94</v>
      </c>
      <c r="J16" s="32">
        <f ca="1">SUM(J12:J15)</f>
        <v>19999.060000000012</v>
      </c>
      <c r="K16" s="150">
        <f ca="1">+J16/H16*100</f>
        <v>11.191165278896955</v>
      </c>
      <c r="L16" s="151">
        <f ca="1">+I16/H16*100</f>
        <v>88.808834721103054</v>
      </c>
      <c r="M16" s="5"/>
    </row>
    <row r="17" spans="6:13" ht="31.5" customHeight="1" x14ac:dyDescent="0.25">
      <c r="F17" s="3"/>
      <c r="G17" s="3"/>
      <c r="H17" s="2"/>
      <c r="I17" s="2"/>
      <c r="J17" s="2"/>
      <c r="K17" s="2"/>
      <c r="L17" s="2"/>
      <c r="M17" s="857"/>
    </row>
    <row r="18" spans="6:13" ht="31.5" customHeight="1" x14ac:dyDescent="0.25">
      <c r="H18" s="2"/>
      <c r="I18" s="2"/>
      <c r="J18" s="2"/>
      <c r="L18" s="2"/>
      <c r="M18" s="857"/>
    </row>
    <row r="19" spans="6:13" ht="31.5" customHeight="1" x14ac:dyDescent="0.25">
      <c r="F19" s="70"/>
      <c r="J19" s="2"/>
    </row>
    <row r="20" spans="6:13" x14ac:dyDescent="0.25">
      <c r="F20" s="70"/>
      <c r="G20" s="9"/>
    </row>
    <row r="21" spans="6:13" x14ac:dyDescent="0.25">
      <c r="F21" s="70"/>
    </row>
    <row r="22" spans="6:13" x14ac:dyDescent="0.25">
      <c r="F22" s="70"/>
    </row>
    <row r="23" spans="6:13" x14ac:dyDescent="0.25">
      <c r="F23" s="70"/>
    </row>
    <row r="24" spans="6:13" x14ac:dyDescent="0.25">
      <c r="F24" s="70"/>
    </row>
    <row r="25" spans="6:13" x14ac:dyDescent="0.25">
      <c r="F25" s="70"/>
    </row>
    <row r="26" spans="6:13" x14ac:dyDescent="0.25">
      <c r="F26" s="70"/>
      <c r="G26" s="9"/>
    </row>
    <row r="27" spans="6:13" x14ac:dyDescent="0.25">
      <c r="F27" s="70"/>
    </row>
    <row r="28" spans="6:13" x14ac:dyDescent="0.25">
      <c r="F28" s="70"/>
      <c r="G28" s="9"/>
    </row>
    <row r="29" spans="6:13" x14ac:dyDescent="0.25">
      <c r="F29" s="70"/>
    </row>
    <row r="30" spans="6:13" x14ac:dyDescent="0.25">
      <c r="F30" s="70"/>
    </row>
    <row r="31" spans="6:13" x14ac:dyDescent="0.25">
      <c r="F31" s="70"/>
    </row>
    <row r="32" spans="6:13" x14ac:dyDescent="0.25">
      <c r="F32" s="9"/>
    </row>
  </sheetData>
  <mergeCells count="12">
    <mergeCell ref="M10:M11"/>
    <mergeCell ref="M17:M18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hyperlinks>
    <hyperlink ref="E12" r:id="rId1"/>
    <hyperlink ref="E13" r:id="rId2"/>
    <hyperlink ref="E14" r:id="rId3"/>
  </hyperlinks>
  <printOptions horizontalCentered="1" verticalCentered="1"/>
  <pageMargins left="0.59055118110236227" right="0.39370078740157483" top="0.15748031496062992" bottom="0.15748031496062992" header="0.31496062992125984" footer="0.31496062992125984"/>
  <pageSetup scale="60" fitToHeight="21" orientation="landscape" r:id="rId4"/>
  <drawing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view="pageBreakPreview" zoomScale="85" zoomScaleNormal="100" zoomScaleSheetLayoutView="85" zoomScalePageLayoutView="80" workbookViewId="0">
      <pane xSplit="2" ySplit="12" topLeftCell="G13" activePane="bottomRight" state="frozen"/>
      <selection pane="topRight" activeCell="C1" sqref="C1"/>
      <selection pane="bottomLeft" activeCell="A12" sqref="A12"/>
      <selection pane="bottomRight" activeCell="Q1" sqref="Q1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6.8554687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20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137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46" t="s">
        <v>16</v>
      </c>
      <c r="E11" s="847" t="s">
        <v>15</v>
      </c>
      <c r="F11" s="836" t="s">
        <v>26</v>
      </c>
      <c r="G11" s="837" t="s">
        <v>215</v>
      </c>
      <c r="H11" s="837" t="s">
        <v>39</v>
      </c>
      <c r="I11" s="837" t="s">
        <v>40</v>
      </c>
      <c r="J11" s="837" t="s">
        <v>41</v>
      </c>
      <c r="K11" s="837" t="s">
        <v>42</v>
      </c>
      <c r="L11" s="837" t="s">
        <v>43</v>
      </c>
      <c r="M11" s="837" t="s">
        <v>44</v>
      </c>
      <c r="N11" s="837" t="s">
        <v>45</v>
      </c>
      <c r="O11" s="837" t="s">
        <v>46</v>
      </c>
      <c r="P11" s="837" t="s">
        <v>47</v>
      </c>
      <c r="Q11" s="837" t="s">
        <v>167</v>
      </c>
      <c r="R11" s="837" t="s">
        <v>49</v>
      </c>
      <c r="S11" s="837" t="s">
        <v>50</v>
      </c>
      <c r="T11" s="952" t="s">
        <v>593</v>
      </c>
      <c r="U11" s="834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91"/>
      <c r="E12" s="892"/>
      <c r="F12" s="893"/>
      <c r="G12" s="838"/>
      <c r="H12" s="838"/>
      <c r="I12" s="838"/>
      <c r="J12" s="838"/>
      <c r="K12" s="838"/>
      <c r="L12" s="838"/>
      <c r="M12" s="838"/>
      <c r="N12" s="838"/>
      <c r="O12" s="838"/>
      <c r="P12" s="838"/>
      <c r="Q12" s="838"/>
      <c r="R12" s="838"/>
      <c r="S12" s="838"/>
      <c r="T12" s="953"/>
      <c r="U12" s="867"/>
    </row>
    <row r="13" spans="1:21" ht="38.25" customHeight="1" thickTop="1" thickBot="1" x14ac:dyDescent="0.3">
      <c r="A13" s="308">
        <v>200200</v>
      </c>
      <c r="B13" s="154">
        <v>182421</v>
      </c>
      <c r="C13" s="449" t="s">
        <v>594</v>
      </c>
      <c r="D13" s="873" t="s">
        <v>595</v>
      </c>
      <c r="E13" s="981" t="s">
        <v>596</v>
      </c>
      <c r="F13" s="918">
        <f>SUM(H13:S13)</f>
        <v>118320</v>
      </c>
      <c r="G13" s="67" t="s">
        <v>52</v>
      </c>
      <c r="H13" s="185"/>
      <c r="I13" s="185">
        <f t="shared" ref="I13:S13" si="0">VLOOKUP($A13&amp;$B13&amp;I$10,Base,8,FALSE)</f>
        <v>0</v>
      </c>
      <c r="J13" s="185">
        <f t="shared" si="0"/>
        <v>0</v>
      </c>
      <c r="K13" s="185">
        <f t="shared" si="0"/>
        <v>29580</v>
      </c>
      <c r="L13" s="185">
        <f t="shared" si="0"/>
        <v>9860</v>
      </c>
      <c r="M13" s="185">
        <f t="shared" si="0"/>
        <v>9860</v>
      </c>
      <c r="N13" s="185">
        <f t="shared" si="0"/>
        <v>9860</v>
      </c>
      <c r="O13" s="185">
        <f t="shared" si="0"/>
        <v>9860</v>
      </c>
      <c r="P13" s="185">
        <f t="shared" si="0"/>
        <v>9717.9</v>
      </c>
      <c r="Q13" s="185">
        <f t="shared" si="0"/>
        <v>10002.1</v>
      </c>
      <c r="R13" s="185">
        <f t="shared" si="0"/>
        <v>9860</v>
      </c>
      <c r="S13" s="185">
        <f t="shared" si="0"/>
        <v>19720</v>
      </c>
      <c r="T13" s="185">
        <f ca="1">SUM($H13:(OFFSET($H13,0,AVANCE060826!$T$2)))</f>
        <v>88740</v>
      </c>
      <c r="U13" s="903"/>
    </row>
    <row r="14" spans="1:21" ht="38.25" customHeight="1" thickTop="1" x14ac:dyDescent="0.25">
      <c r="A14" s="308">
        <v>200200</v>
      </c>
      <c r="B14" s="154">
        <v>182421</v>
      </c>
      <c r="C14" s="449"/>
      <c r="D14" s="873"/>
      <c r="E14" s="981"/>
      <c r="F14" s="918"/>
      <c r="G14" s="67" t="s">
        <v>53</v>
      </c>
      <c r="H14" s="185"/>
      <c r="I14" s="185">
        <f t="shared" ref="I14:S14" si="1">VLOOKUP($A14&amp;$B14&amp;I$10,Base,9,FALSE)</f>
        <v>0</v>
      </c>
      <c r="J14" s="185">
        <f t="shared" si="1"/>
        <v>0</v>
      </c>
      <c r="K14" s="185">
        <f t="shared" si="1"/>
        <v>29580</v>
      </c>
      <c r="L14" s="185">
        <f t="shared" si="1"/>
        <v>9860</v>
      </c>
      <c r="M14" s="185">
        <f t="shared" si="1"/>
        <v>9860</v>
      </c>
      <c r="N14" s="185">
        <f t="shared" si="1"/>
        <v>9860</v>
      </c>
      <c r="O14" s="185">
        <f t="shared" si="1"/>
        <v>9860</v>
      </c>
      <c r="P14" s="185">
        <f t="shared" si="1"/>
        <v>9717.9</v>
      </c>
      <c r="Q14" s="185">
        <f t="shared" si="1"/>
        <v>0</v>
      </c>
      <c r="R14" s="185">
        <f t="shared" si="1"/>
        <v>0</v>
      </c>
      <c r="S14" s="185">
        <f t="shared" si="1"/>
        <v>0</v>
      </c>
      <c r="T14" s="185">
        <f t="shared" ref="T14:T22" si="2">SUM(H14:S14)</f>
        <v>78737.899999999994</v>
      </c>
      <c r="U14" s="903"/>
    </row>
    <row r="15" spans="1:21" ht="38.25" customHeight="1" x14ac:dyDescent="0.25">
      <c r="A15" s="311">
        <v>200200</v>
      </c>
      <c r="B15" s="159">
        <v>182419</v>
      </c>
      <c r="C15" s="268" t="s">
        <v>597</v>
      </c>
      <c r="D15" s="873" t="s">
        <v>598</v>
      </c>
      <c r="E15" s="981" t="s">
        <v>599</v>
      </c>
      <c r="F15" s="918">
        <f>SUM(H15:S15)</f>
        <v>119950.56</v>
      </c>
      <c r="G15" s="67" t="s">
        <v>52</v>
      </c>
      <c r="H15" s="185"/>
      <c r="I15" s="185">
        <f t="shared" ref="I15:S15" si="3">VLOOKUP($A15&amp;$B15&amp;I$10,Base,8,FALSE)</f>
        <v>0</v>
      </c>
      <c r="J15" s="185">
        <f t="shared" si="3"/>
        <v>0</v>
      </c>
      <c r="K15" s="185">
        <f t="shared" si="3"/>
        <v>29987.64</v>
      </c>
      <c r="L15" s="185">
        <f t="shared" si="3"/>
        <v>0</v>
      </c>
      <c r="M15" s="185">
        <f t="shared" si="3"/>
        <v>19991.759999999998</v>
      </c>
      <c r="N15" s="185">
        <f t="shared" si="3"/>
        <v>0</v>
      </c>
      <c r="O15" s="185">
        <f t="shared" si="3"/>
        <v>0</v>
      </c>
      <c r="P15" s="185">
        <f t="shared" si="3"/>
        <v>29987.64</v>
      </c>
      <c r="Q15" s="185">
        <f t="shared" si="3"/>
        <v>9996.9599999999991</v>
      </c>
      <c r="R15" s="185">
        <f t="shared" si="3"/>
        <v>9996</v>
      </c>
      <c r="S15" s="185">
        <f t="shared" si="3"/>
        <v>19990.560000000001</v>
      </c>
      <c r="T15" s="185">
        <f ca="1">SUM($H15:(OFFSET($H15,0,AVANCE060826!$T$2)))</f>
        <v>89964</v>
      </c>
      <c r="U15" s="903"/>
    </row>
    <row r="16" spans="1:21" ht="38.25" customHeight="1" x14ac:dyDescent="0.25">
      <c r="A16" s="311">
        <v>200200</v>
      </c>
      <c r="B16" s="159">
        <v>182419</v>
      </c>
      <c r="C16" s="268"/>
      <c r="D16" s="873"/>
      <c r="E16" s="981"/>
      <c r="F16" s="918"/>
      <c r="G16" s="67" t="s">
        <v>53</v>
      </c>
      <c r="H16" s="185"/>
      <c r="I16" s="185">
        <f t="shared" ref="I16:S16" si="4">VLOOKUP($A16&amp;$B16&amp;I$10,Base,9,FALSE)</f>
        <v>0</v>
      </c>
      <c r="J16" s="185">
        <f t="shared" si="4"/>
        <v>0</v>
      </c>
      <c r="K16" s="185">
        <f t="shared" si="4"/>
        <v>29987.64</v>
      </c>
      <c r="L16" s="185">
        <f t="shared" si="4"/>
        <v>0</v>
      </c>
      <c r="M16" s="185">
        <f t="shared" si="4"/>
        <v>19991.759999999998</v>
      </c>
      <c r="N16" s="185">
        <f t="shared" si="4"/>
        <v>0</v>
      </c>
      <c r="O16" s="185">
        <f t="shared" si="4"/>
        <v>0</v>
      </c>
      <c r="P16" s="185">
        <f t="shared" si="4"/>
        <v>29987.64</v>
      </c>
      <c r="Q16" s="185">
        <f t="shared" si="4"/>
        <v>0</v>
      </c>
      <c r="R16" s="185">
        <f t="shared" si="4"/>
        <v>0</v>
      </c>
      <c r="S16" s="185">
        <f t="shared" si="4"/>
        <v>0</v>
      </c>
      <c r="T16" s="185">
        <f t="shared" si="2"/>
        <v>79967.039999999994</v>
      </c>
      <c r="U16" s="903"/>
    </row>
    <row r="17" spans="1:21" ht="38.25" hidden="1" customHeight="1" x14ac:dyDescent="0.25">
      <c r="A17" s="311">
        <v>380200</v>
      </c>
      <c r="B17" s="313">
        <v>185901</v>
      </c>
      <c r="C17" s="268" t="s">
        <v>600</v>
      </c>
      <c r="D17" s="873" t="s">
        <v>601</v>
      </c>
      <c r="E17" s="981" t="s">
        <v>196</v>
      </c>
      <c r="F17" s="918"/>
      <c r="G17" s="67" t="s">
        <v>52</v>
      </c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>
        <f>SUM(H17:S17)</f>
        <v>0</v>
      </c>
      <c r="U17" s="903"/>
    </row>
    <row r="18" spans="1:21" ht="38.25" hidden="1" customHeight="1" x14ac:dyDescent="0.25">
      <c r="A18" s="311"/>
      <c r="B18" s="313"/>
      <c r="C18" s="268"/>
      <c r="D18" s="873"/>
      <c r="E18" s="981"/>
      <c r="F18" s="918"/>
      <c r="G18" s="67" t="s">
        <v>53</v>
      </c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>
        <f>SUM(H18:S18)</f>
        <v>0</v>
      </c>
      <c r="U18" s="903"/>
    </row>
    <row r="19" spans="1:21" ht="38.25" hidden="1" customHeight="1" x14ac:dyDescent="0.25">
      <c r="A19" s="311">
        <v>50100</v>
      </c>
      <c r="B19" s="313">
        <v>189001</v>
      </c>
      <c r="C19" s="268" t="s">
        <v>600</v>
      </c>
      <c r="D19" s="873" t="s">
        <v>602</v>
      </c>
      <c r="E19" s="981" t="s">
        <v>603</v>
      </c>
      <c r="F19" s="918">
        <f>+H19*12</f>
        <v>0</v>
      </c>
      <c r="G19" s="67" t="s">
        <v>52</v>
      </c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>
        <f t="shared" si="2"/>
        <v>0</v>
      </c>
      <c r="U19" s="903"/>
    </row>
    <row r="20" spans="1:21" ht="38.25" hidden="1" customHeight="1" x14ac:dyDescent="0.25">
      <c r="A20" s="311"/>
      <c r="B20" s="313"/>
      <c r="C20" s="268"/>
      <c r="D20" s="873"/>
      <c r="E20" s="981"/>
      <c r="F20" s="918"/>
      <c r="G20" s="67" t="s">
        <v>53</v>
      </c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>
        <f t="shared" si="2"/>
        <v>0</v>
      </c>
      <c r="U20" s="903"/>
    </row>
    <row r="21" spans="1:21" ht="15.75" thickBot="1" x14ac:dyDescent="0.3">
      <c r="A21" s="40">
        <v>2</v>
      </c>
      <c r="B21" s="4"/>
      <c r="C21" s="24">
        <f>COUNT(#REF!)</f>
        <v>0</v>
      </c>
      <c r="D21" s="7"/>
      <c r="E21" s="6"/>
      <c r="F21" s="32">
        <f>SUM(F13:F20)</f>
        <v>238270.56</v>
      </c>
      <c r="G21" s="450" t="s">
        <v>52</v>
      </c>
      <c r="H21" s="176">
        <f t="shared" ref="H21:M22" si="5">+H19+H15+H13+H17</f>
        <v>0</v>
      </c>
      <c r="I21" s="176">
        <f t="shared" si="5"/>
        <v>0</v>
      </c>
      <c r="J21" s="176">
        <f t="shared" si="5"/>
        <v>0</v>
      </c>
      <c r="K21" s="176">
        <f t="shared" si="5"/>
        <v>59567.64</v>
      </c>
      <c r="L21" s="176">
        <f t="shared" si="5"/>
        <v>9860</v>
      </c>
      <c r="M21" s="176">
        <f t="shared" si="5"/>
        <v>29851.759999999998</v>
      </c>
      <c r="N21" s="176">
        <f t="shared" ref="N21:S21" si="6">+N19+N15+N13+N17</f>
        <v>9860</v>
      </c>
      <c r="O21" s="176">
        <f t="shared" si="6"/>
        <v>9860</v>
      </c>
      <c r="P21" s="176">
        <f t="shared" si="6"/>
        <v>39705.54</v>
      </c>
      <c r="Q21" s="176">
        <f t="shared" si="6"/>
        <v>19999.059999999998</v>
      </c>
      <c r="R21" s="176">
        <f t="shared" si="6"/>
        <v>19856</v>
      </c>
      <c r="S21" s="176">
        <f t="shared" si="6"/>
        <v>39710.559999999998</v>
      </c>
      <c r="T21" s="185">
        <f t="shared" si="2"/>
        <v>238270.56</v>
      </c>
      <c r="U21" s="5"/>
    </row>
    <row r="22" spans="1:21" ht="31.5" customHeight="1" x14ac:dyDescent="0.25">
      <c r="F22" s="3"/>
      <c r="G22" s="451" t="s">
        <v>53</v>
      </c>
      <c r="H22" s="176">
        <f t="shared" si="5"/>
        <v>0</v>
      </c>
      <c r="I22" s="176">
        <f t="shared" si="5"/>
        <v>0</v>
      </c>
      <c r="J22" s="176">
        <f t="shared" si="5"/>
        <v>0</v>
      </c>
      <c r="K22" s="176">
        <f t="shared" si="5"/>
        <v>59567.64</v>
      </c>
      <c r="L22" s="176">
        <f t="shared" si="5"/>
        <v>9860</v>
      </c>
      <c r="M22" s="176">
        <f t="shared" si="5"/>
        <v>29851.759999999998</v>
      </c>
      <c r="N22" s="176">
        <f t="shared" ref="N22:S22" si="7">+N20+N16+N14+N18</f>
        <v>9860</v>
      </c>
      <c r="O22" s="176">
        <f t="shared" si="7"/>
        <v>9860</v>
      </c>
      <c r="P22" s="176">
        <f t="shared" si="7"/>
        <v>39705.54</v>
      </c>
      <c r="Q22" s="176">
        <f t="shared" si="7"/>
        <v>0</v>
      </c>
      <c r="R22" s="176">
        <f t="shared" si="7"/>
        <v>0</v>
      </c>
      <c r="S22" s="176">
        <f t="shared" si="7"/>
        <v>0</v>
      </c>
      <c r="T22" s="185">
        <f t="shared" si="2"/>
        <v>158704.94</v>
      </c>
      <c r="U22" s="857"/>
    </row>
    <row r="23" spans="1:21" ht="31.5" customHeight="1" x14ac:dyDescent="0.25">
      <c r="T23" s="2"/>
      <c r="U23" s="857"/>
    </row>
    <row r="24" spans="1:21" ht="31.5" customHeight="1" x14ac:dyDescent="0.25"/>
  </sheetData>
  <mergeCells count="37">
    <mergeCell ref="U19:U20"/>
    <mergeCell ref="U22:U23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hyperlinks>
    <hyperlink ref="E13" r:id="rId1"/>
    <hyperlink ref="E15" r:id="rId2"/>
    <hyperlink ref="E17" r:id="rId3"/>
  </hyperlinks>
  <printOptions horizontalCentered="1" verticalCentered="1"/>
  <pageMargins left="0.59055118110236227" right="0.39370078740157483" top="0.15748031496062992" bottom="0.15748031496062992" header="0.31496062992125984" footer="0.31496062992125984"/>
  <pageSetup scale="35" fitToHeight="21" orientation="landscape" r:id="rId4"/>
  <ignoredErrors>
    <ignoredError sqref="T14" formula="1"/>
  </ignoredErrors>
  <drawing r:id="rId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showGridLines="0" topLeftCell="E1" zoomScaleNormal="100" zoomScaleSheetLayoutView="85" zoomScalePageLayoutView="80" workbookViewId="0">
      <selection activeCell="N12" sqref="N12:N13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customWidth="1"/>
    <col min="10" max="10" width="13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138</v>
      </c>
      <c r="H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982" t="s">
        <v>15</v>
      </c>
      <c r="F10" s="833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983"/>
      <c r="F11" s="984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67"/>
    </row>
    <row r="12" spans="1:13" ht="61.5" customHeight="1" thickTop="1" thickBot="1" x14ac:dyDescent="0.3">
      <c r="A12" s="462">
        <v>198002</v>
      </c>
      <c r="B12" s="462">
        <v>920201</v>
      </c>
      <c r="C12" s="182" t="s">
        <v>178</v>
      </c>
      <c r="D12" s="143" t="s">
        <v>606</v>
      </c>
      <c r="E12" s="463" t="s">
        <v>607</v>
      </c>
      <c r="F12" s="464">
        <f>NAY_Calendario!F13</f>
        <v>325728</v>
      </c>
      <c r="G12" s="189">
        <f>+F12/12</f>
        <v>27144</v>
      </c>
      <c r="H12" s="128">
        <f ca="1">NAY_Calendario!T13</f>
        <v>244296</v>
      </c>
      <c r="I12" s="128">
        <f>NAY_Calendario!T14</f>
        <v>244296</v>
      </c>
      <c r="J12" s="81">
        <f ca="1">H12-I12</f>
        <v>0</v>
      </c>
      <c r="K12" s="82">
        <f ca="1">+J12/H12*100</f>
        <v>0</v>
      </c>
      <c r="L12" s="83">
        <f ca="1">+I12/H12*100</f>
        <v>100</v>
      </c>
      <c r="M12" s="363" t="s">
        <v>778</v>
      </c>
    </row>
    <row r="13" spans="1:13" ht="94.5" customHeight="1" thickBot="1" x14ac:dyDescent="0.3">
      <c r="A13" s="272" t="s">
        <v>608</v>
      </c>
      <c r="B13" s="273">
        <v>73100</v>
      </c>
      <c r="C13" s="182" t="s">
        <v>178</v>
      </c>
      <c r="D13" s="143" t="s">
        <v>609</v>
      </c>
      <c r="E13" s="463" t="s">
        <v>255</v>
      </c>
      <c r="F13" s="464">
        <f>NAY_Calendario!F15</f>
        <v>300000</v>
      </c>
      <c r="G13" s="189">
        <f>+F13/6</f>
        <v>50000</v>
      </c>
      <c r="H13" s="128">
        <f ca="1">NAY_Calendario!T15</f>
        <v>225000</v>
      </c>
      <c r="I13" s="128">
        <f>NAY_Calendario!T16</f>
        <v>225000</v>
      </c>
      <c r="J13" s="81">
        <f ca="1">H13-I13</f>
        <v>0</v>
      </c>
      <c r="K13" s="82">
        <f ca="1">+J13/H13*100</f>
        <v>0</v>
      </c>
      <c r="L13" s="83">
        <f ca="1">+I13/H13*100</f>
        <v>100</v>
      </c>
      <c r="M13" s="363" t="s">
        <v>990</v>
      </c>
    </row>
    <row r="14" spans="1:13" ht="15.75" thickBot="1" x14ac:dyDescent="0.3">
      <c r="A14" s="4"/>
      <c r="B14" s="40">
        <v>2</v>
      </c>
      <c r="C14" s="24">
        <f>COUNT(#REF!)</f>
        <v>0</v>
      </c>
      <c r="D14" s="389"/>
      <c r="E14" s="389"/>
      <c r="F14" s="32">
        <f t="shared" ref="F14:K14" si="0">+F12+F13</f>
        <v>625728</v>
      </c>
      <c r="G14" s="32">
        <f t="shared" si="0"/>
        <v>77144</v>
      </c>
      <c r="H14" s="32">
        <f t="shared" ca="1" si="0"/>
        <v>469296</v>
      </c>
      <c r="I14" s="32">
        <f t="shared" si="0"/>
        <v>469296</v>
      </c>
      <c r="J14" s="32">
        <f t="shared" ca="1" si="0"/>
        <v>0</v>
      </c>
      <c r="K14" s="32">
        <f t="shared" ca="1" si="0"/>
        <v>0</v>
      </c>
      <c r="L14" s="151">
        <f ca="1">+I14/H14*100</f>
        <v>100</v>
      </c>
      <c r="M14" s="5"/>
    </row>
    <row r="15" spans="1:13" ht="31.5" customHeight="1" x14ac:dyDescent="0.25">
      <c r="F15" s="3"/>
      <c r="G15" s="3"/>
      <c r="H15" s="2"/>
      <c r="I15" s="2"/>
      <c r="J15" s="2"/>
      <c r="K15" s="2"/>
      <c r="L15" s="2"/>
      <c r="M15" s="857"/>
    </row>
    <row r="16" spans="1:13" ht="31.5" customHeight="1" x14ac:dyDescent="0.25">
      <c r="H16" s="2"/>
      <c r="I16" s="2"/>
      <c r="J16" s="2"/>
      <c r="K16" s="2"/>
      <c r="L16" s="2"/>
      <c r="M16" s="857"/>
    </row>
    <row r="17" ht="31.5" customHeight="1" x14ac:dyDescent="0.25"/>
  </sheetData>
  <mergeCells count="12">
    <mergeCell ref="M10:M11"/>
    <mergeCell ref="M15:M16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3" fitToHeight="2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view="pageBreakPreview" zoomScale="85" zoomScaleNormal="100" zoomScaleSheetLayoutView="85" zoomScalePageLayoutView="80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 activeCell="B1" sqref="B1"/>
    </sheetView>
  </sheetViews>
  <sheetFormatPr baseColWidth="10" defaultRowHeight="15" x14ac:dyDescent="0.25"/>
  <cols>
    <col min="1" max="1" width="9.42578125" customWidth="1"/>
    <col min="2" max="2" width="10.42578125" customWidth="1"/>
    <col min="3" max="3" width="0.28515625" customWidth="1"/>
    <col min="4" max="4" width="21.5703125" customWidth="1"/>
    <col min="5" max="5" width="27.28515625" style="1" customWidth="1"/>
    <col min="6" max="11" width="15" customWidth="1"/>
    <col min="12" max="12" width="14.85546875" customWidth="1"/>
    <col min="13" max="19" width="15" customWidth="1"/>
    <col min="20" max="20" width="19.140625" customWidth="1"/>
    <col min="21" max="21" width="39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138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89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4.5" customHeight="1" thickTop="1" thickBot="1" x14ac:dyDescent="0.3">
      <c r="A13" s="725">
        <v>920201</v>
      </c>
      <c r="B13" s="725">
        <v>198002</v>
      </c>
      <c r="C13" s="182" t="s">
        <v>178</v>
      </c>
      <c r="D13" s="873" t="s">
        <v>606</v>
      </c>
      <c r="E13" s="985" t="s">
        <v>607</v>
      </c>
      <c r="F13" s="895">
        <f>SUM(H13:S13)</f>
        <v>325728</v>
      </c>
      <c r="G13" s="183" t="s">
        <v>52</v>
      </c>
      <c r="H13" s="183"/>
      <c r="I13" s="166">
        <f t="shared" ref="I13:S13" si="0">VLOOKUP($A13&amp;$B13&amp;I$10,Base,8,FALSE)</f>
        <v>27144</v>
      </c>
      <c r="J13" s="166">
        <f t="shared" si="0"/>
        <v>27144</v>
      </c>
      <c r="K13" s="166">
        <f t="shared" si="0"/>
        <v>27144</v>
      </c>
      <c r="L13" s="166">
        <f t="shared" si="0"/>
        <v>27144</v>
      </c>
      <c r="M13" s="166">
        <f t="shared" si="0"/>
        <v>27144</v>
      </c>
      <c r="N13" s="166">
        <f t="shared" si="0"/>
        <v>27144</v>
      </c>
      <c r="O13" s="166">
        <f t="shared" si="0"/>
        <v>27144</v>
      </c>
      <c r="P13" s="166">
        <f t="shared" si="0"/>
        <v>27144</v>
      </c>
      <c r="Q13" s="166">
        <f t="shared" si="0"/>
        <v>27144</v>
      </c>
      <c r="R13" s="166">
        <f t="shared" si="0"/>
        <v>27144</v>
      </c>
      <c r="S13" s="166">
        <f t="shared" si="0"/>
        <v>54288</v>
      </c>
      <c r="T13" s="67">
        <f ca="1">SUM($H13:(OFFSET($H13,0,AVANCE060826!$T$2)))</f>
        <v>244296</v>
      </c>
      <c r="U13" s="986"/>
    </row>
    <row r="14" spans="1:21" ht="34.5" customHeight="1" thickTop="1" x14ac:dyDescent="0.25">
      <c r="A14" s="725">
        <v>920201</v>
      </c>
      <c r="B14" s="725">
        <v>198002</v>
      </c>
      <c r="C14" s="184"/>
      <c r="D14" s="873"/>
      <c r="E14" s="985"/>
      <c r="F14" s="895"/>
      <c r="G14" s="183" t="s">
        <v>53</v>
      </c>
      <c r="H14" s="183"/>
      <c r="I14" s="185">
        <f t="shared" ref="I14:S14" si="1">VLOOKUP($A14&amp;$B14&amp;I$10,Base,9,FALSE)</f>
        <v>27144</v>
      </c>
      <c r="J14" s="183">
        <f t="shared" si="1"/>
        <v>27144</v>
      </c>
      <c r="K14" s="183">
        <f t="shared" si="1"/>
        <v>27144</v>
      </c>
      <c r="L14" s="183">
        <f t="shared" si="1"/>
        <v>27144</v>
      </c>
      <c r="M14" s="183">
        <f t="shared" si="1"/>
        <v>27144</v>
      </c>
      <c r="N14" s="183">
        <f t="shared" si="1"/>
        <v>27144</v>
      </c>
      <c r="O14" s="183">
        <f t="shared" si="1"/>
        <v>27144</v>
      </c>
      <c r="P14" s="183">
        <f t="shared" si="1"/>
        <v>27144</v>
      </c>
      <c r="Q14" s="183">
        <f t="shared" si="1"/>
        <v>27144</v>
      </c>
      <c r="R14" s="183">
        <f t="shared" si="1"/>
        <v>0</v>
      </c>
      <c r="S14" s="183">
        <f t="shared" si="1"/>
        <v>0</v>
      </c>
      <c r="T14" s="67">
        <f>SUM(H14:S14)</f>
        <v>244296</v>
      </c>
      <c r="U14" s="986"/>
    </row>
    <row r="15" spans="1:21" ht="39" customHeight="1" x14ac:dyDescent="0.25">
      <c r="A15" s="273">
        <v>73100</v>
      </c>
      <c r="B15" s="742" t="s">
        <v>83</v>
      </c>
      <c r="C15" s="182" t="s">
        <v>178</v>
      </c>
      <c r="D15" s="873" t="s">
        <v>609</v>
      </c>
      <c r="E15" s="985" t="s">
        <v>255</v>
      </c>
      <c r="F15" s="895">
        <f>SUM(H15:S15)</f>
        <v>300000</v>
      </c>
      <c r="G15" s="183" t="s">
        <v>52</v>
      </c>
      <c r="H15" s="183"/>
      <c r="I15" s="166">
        <f t="shared" ref="I15:S15" si="2">VLOOKUP($A15&amp;$B15&amp;I$10,Base,8,FALSE)</f>
        <v>0</v>
      </c>
      <c r="J15" s="166">
        <f t="shared" si="2"/>
        <v>0</v>
      </c>
      <c r="K15" s="166">
        <f t="shared" si="2"/>
        <v>0</v>
      </c>
      <c r="L15" s="166">
        <f t="shared" si="2"/>
        <v>0</v>
      </c>
      <c r="M15" s="166">
        <f t="shared" si="2"/>
        <v>0</v>
      </c>
      <c r="N15" s="166">
        <f t="shared" si="2"/>
        <v>0</v>
      </c>
      <c r="O15" s="166">
        <f t="shared" si="2"/>
        <v>0</v>
      </c>
      <c r="P15" s="166">
        <f t="shared" si="2"/>
        <v>200000</v>
      </c>
      <c r="Q15" s="166">
        <f t="shared" si="2"/>
        <v>25000</v>
      </c>
      <c r="R15" s="166">
        <f t="shared" si="2"/>
        <v>25000</v>
      </c>
      <c r="S15" s="166">
        <f t="shared" si="2"/>
        <v>50000</v>
      </c>
      <c r="T15" s="67">
        <f ca="1">SUM($H15:(OFFSET($H15,0,AVANCE060826!$T$2)))</f>
        <v>225000</v>
      </c>
      <c r="U15" s="986"/>
    </row>
    <row r="16" spans="1:21" ht="46.5" customHeight="1" x14ac:dyDescent="0.25">
      <c r="A16" s="273">
        <v>73100</v>
      </c>
      <c r="B16" s="742" t="s">
        <v>83</v>
      </c>
      <c r="C16" s="184"/>
      <c r="D16" s="873"/>
      <c r="E16" s="985"/>
      <c r="F16" s="895"/>
      <c r="G16" s="183" t="s">
        <v>53</v>
      </c>
      <c r="H16" s="183"/>
      <c r="I16" s="183">
        <f t="shared" ref="I16:S16" si="3">VLOOKUP($A16&amp;$B16&amp;I$10,Base,9,FALSE)</f>
        <v>0</v>
      </c>
      <c r="J16" s="183">
        <f t="shared" si="3"/>
        <v>0</v>
      </c>
      <c r="K16" s="183">
        <f t="shared" si="3"/>
        <v>0</v>
      </c>
      <c r="L16" s="183">
        <f t="shared" si="3"/>
        <v>0</v>
      </c>
      <c r="M16" s="183">
        <f t="shared" si="3"/>
        <v>0</v>
      </c>
      <c r="N16" s="183">
        <f t="shared" si="3"/>
        <v>0</v>
      </c>
      <c r="O16" s="183">
        <f t="shared" si="3"/>
        <v>0</v>
      </c>
      <c r="P16" s="183">
        <f t="shared" si="3"/>
        <v>200000</v>
      </c>
      <c r="Q16" s="183">
        <f t="shared" si="3"/>
        <v>25000</v>
      </c>
      <c r="R16" s="183">
        <f t="shared" si="3"/>
        <v>0</v>
      </c>
      <c r="S16" s="183">
        <f t="shared" si="3"/>
        <v>0</v>
      </c>
      <c r="T16" s="67">
        <f>SUM(H16:S16)</f>
        <v>225000</v>
      </c>
      <c r="U16" s="986"/>
    </row>
    <row r="17" spans="1:21" ht="24.75" customHeight="1" x14ac:dyDescent="0.25">
      <c r="A17" s="459"/>
      <c r="B17" s="459"/>
      <c r="C17" s="184"/>
      <c r="D17" s="460"/>
      <c r="E17" s="460"/>
      <c r="F17" s="987">
        <f>+F13+F15</f>
        <v>625728</v>
      </c>
      <c r="G17" s="183" t="s">
        <v>52</v>
      </c>
      <c r="H17" s="183">
        <f>+H13+H15</f>
        <v>0</v>
      </c>
      <c r="I17" s="183">
        <f t="shared" ref="I17:T17" si="4">+I13+I15</f>
        <v>27144</v>
      </c>
      <c r="J17" s="183">
        <f t="shared" si="4"/>
        <v>27144</v>
      </c>
      <c r="K17" s="183">
        <f t="shared" si="4"/>
        <v>27144</v>
      </c>
      <c r="L17" s="183">
        <f t="shared" si="4"/>
        <v>27144</v>
      </c>
      <c r="M17" s="183">
        <f t="shared" si="4"/>
        <v>27144</v>
      </c>
      <c r="N17" s="183">
        <f t="shared" ref="N17:S17" si="5">+N13+N15</f>
        <v>27144</v>
      </c>
      <c r="O17" s="183">
        <f t="shared" si="5"/>
        <v>27144</v>
      </c>
      <c r="P17" s="183">
        <f t="shared" si="5"/>
        <v>227144</v>
      </c>
      <c r="Q17" s="183">
        <f t="shared" si="5"/>
        <v>52144</v>
      </c>
      <c r="R17" s="183">
        <f t="shared" si="5"/>
        <v>52144</v>
      </c>
      <c r="S17" s="183">
        <f t="shared" si="5"/>
        <v>104288</v>
      </c>
      <c r="T17" s="183">
        <f t="shared" ca="1" si="4"/>
        <v>469296</v>
      </c>
      <c r="U17" s="461"/>
    </row>
    <row r="18" spans="1:21" ht="35.25" customHeight="1" x14ac:dyDescent="0.25">
      <c r="A18" s="40">
        <v>1</v>
      </c>
      <c r="B18" s="4"/>
      <c r="C18" s="24">
        <f>COUNT(#REF!)</f>
        <v>0</v>
      </c>
      <c r="D18" s="7"/>
      <c r="E18" s="6"/>
      <c r="F18" s="988"/>
      <c r="G18" s="183" t="s">
        <v>53</v>
      </c>
      <c r="H18" s="183">
        <f t="shared" ref="H18:T18" si="6">+H14+H16</f>
        <v>0</v>
      </c>
      <c r="I18" s="183">
        <f t="shared" si="6"/>
        <v>27144</v>
      </c>
      <c r="J18" s="183">
        <f t="shared" si="6"/>
        <v>27144</v>
      </c>
      <c r="K18" s="183">
        <f t="shared" si="6"/>
        <v>27144</v>
      </c>
      <c r="L18" s="183">
        <f t="shared" si="6"/>
        <v>27144</v>
      </c>
      <c r="M18" s="183">
        <f t="shared" si="6"/>
        <v>27144</v>
      </c>
      <c r="N18" s="183">
        <f t="shared" ref="N18:S18" si="7">+N14+N16</f>
        <v>27144</v>
      </c>
      <c r="O18" s="183">
        <f t="shared" si="7"/>
        <v>27144</v>
      </c>
      <c r="P18" s="183">
        <f t="shared" si="7"/>
        <v>227144</v>
      </c>
      <c r="Q18" s="183">
        <f t="shared" si="7"/>
        <v>52144</v>
      </c>
      <c r="R18" s="183">
        <f t="shared" si="7"/>
        <v>0</v>
      </c>
      <c r="S18" s="183">
        <f t="shared" si="7"/>
        <v>0</v>
      </c>
      <c r="T18" s="183">
        <f t="shared" si="6"/>
        <v>469296</v>
      </c>
      <c r="U18" s="5"/>
    </row>
    <row r="19" spans="1:21" ht="31.5" customHeight="1" x14ac:dyDescent="0.25"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2"/>
      <c r="U19" s="857"/>
    </row>
    <row r="20" spans="1:21" ht="31.5" customHeight="1" x14ac:dyDescent="0.25">
      <c r="T20" s="2"/>
      <c r="U20" s="857"/>
    </row>
    <row r="21" spans="1:21" ht="31.5" customHeight="1" x14ac:dyDescent="0.25"/>
  </sheetData>
  <mergeCells count="30">
    <mergeCell ref="U15:U16"/>
    <mergeCell ref="F17:F18"/>
    <mergeCell ref="U19:U20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P11:P12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9" fitToHeight="2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showGridLines="0" zoomScale="90" zoomScaleNormal="90" zoomScaleSheetLayoutView="85" zoomScalePageLayoutView="80" workbookViewId="0">
      <selection activeCell="H20" sqref="H20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31.5703125" customWidth="1"/>
    <col min="5" max="5" width="25.5703125" style="1" customWidth="1"/>
    <col min="6" max="6" width="15" customWidth="1"/>
    <col min="7" max="7" width="12.85546875" customWidth="1"/>
    <col min="8" max="8" width="19.140625" customWidth="1"/>
    <col min="9" max="9" width="16.7109375" customWidth="1"/>
    <col min="10" max="10" width="16.28515625" customWidth="1"/>
    <col min="11" max="11" width="11.7109375" hidden="1" customWidth="1"/>
    <col min="12" max="12" width="10.28515625" hidden="1" customWidth="1"/>
    <col min="13" max="13" width="40.7109375" customWidth="1"/>
    <col min="14" max="14" width="0.5703125" hidden="1" customWidth="1"/>
    <col min="15" max="15" width="28" customWidth="1"/>
    <col min="16" max="16365" width="11.42578125" customWidth="1"/>
  </cols>
  <sheetData>
    <row r="1" spans="1:18" ht="18" x14ac:dyDescent="0.25">
      <c r="D1" s="10" t="s">
        <v>25</v>
      </c>
      <c r="M1" s="11"/>
    </row>
    <row r="2" spans="1:18" ht="18" x14ac:dyDescent="0.25">
      <c r="D2" s="10" t="s">
        <v>24</v>
      </c>
    </row>
    <row r="3" spans="1:18" ht="18" x14ac:dyDescent="0.25">
      <c r="D3" s="10" t="s">
        <v>23</v>
      </c>
    </row>
    <row r="4" spans="1:18" ht="18" x14ac:dyDescent="0.25">
      <c r="D4" s="10" t="s">
        <v>22</v>
      </c>
      <c r="K4" s="9"/>
      <c r="L4" s="9"/>
    </row>
    <row r="5" spans="1:18" ht="18" x14ac:dyDescent="0.25">
      <c r="D5" s="10" t="s">
        <v>21</v>
      </c>
    </row>
    <row r="6" spans="1:18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8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8" ht="18" x14ac:dyDescent="0.25">
      <c r="D8" s="39" t="s">
        <v>31</v>
      </c>
      <c r="E8" s="10" t="s">
        <v>139</v>
      </c>
      <c r="H8" s="9"/>
    </row>
    <row r="9" spans="1:18" ht="5.25" customHeight="1" thickBot="1" x14ac:dyDescent="0.3"/>
    <row r="10" spans="1:18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623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</row>
    <row r="11" spans="1:18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49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41"/>
    </row>
    <row r="12" spans="1:18" ht="41.25" customHeight="1" thickTop="1" x14ac:dyDescent="0.25">
      <c r="A12" s="472">
        <v>202442</v>
      </c>
      <c r="B12" s="417">
        <v>200222</v>
      </c>
      <c r="C12" s="421" t="s">
        <v>610</v>
      </c>
      <c r="D12" s="240" t="s">
        <v>611</v>
      </c>
      <c r="E12" s="397" t="s">
        <v>612</v>
      </c>
      <c r="F12" s="473">
        <f>NL_Calendario!F13</f>
        <v>97440</v>
      </c>
      <c r="G12" s="474">
        <f>+F12/12</f>
        <v>8120</v>
      </c>
      <c r="H12" s="65">
        <f ca="1">NL_Calendario!T13</f>
        <v>73080</v>
      </c>
      <c r="I12" s="65">
        <f>NL_Calendario!T14</f>
        <v>73080</v>
      </c>
      <c r="J12" s="73">
        <f ca="1">H12-I12</f>
        <v>0</v>
      </c>
      <c r="K12" s="74">
        <f t="shared" ref="K12:K18" ca="1" si="0">+J12/H12*100</f>
        <v>0</v>
      </c>
      <c r="L12" s="75">
        <f t="shared" ref="L12:L18" ca="1" si="1">+I12/H12*100</f>
        <v>100</v>
      </c>
      <c r="M12" s="76" t="s">
        <v>993</v>
      </c>
    </row>
    <row r="13" spans="1:18" ht="50.25" customHeight="1" x14ac:dyDescent="0.25">
      <c r="A13" s="475">
        <v>205307</v>
      </c>
      <c r="B13" s="346">
        <v>310203</v>
      </c>
      <c r="C13" s="347" t="s">
        <v>613</v>
      </c>
      <c r="D13" s="135" t="s">
        <v>614</v>
      </c>
      <c r="E13" s="476" t="s">
        <v>442</v>
      </c>
      <c r="F13" s="477">
        <f>NL_Calendario!F15</f>
        <v>463930.58</v>
      </c>
      <c r="G13" s="474">
        <f>+F13/12</f>
        <v>38660.881666666668</v>
      </c>
      <c r="H13" s="65">
        <f ca="1">NL_Calendario!T15</f>
        <v>347949</v>
      </c>
      <c r="I13" s="65">
        <f>NL_Calendario!T16</f>
        <v>347942.43</v>
      </c>
      <c r="J13" s="73">
        <f ca="1">H13-I13</f>
        <v>6.5700000000069849</v>
      </c>
      <c r="K13" s="74">
        <f t="shared" ca="1" si="0"/>
        <v>1.888207754586731E-3</v>
      </c>
      <c r="L13" s="75">
        <f t="shared" ca="1" si="1"/>
        <v>99.99811179224541</v>
      </c>
      <c r="M13" s="76" t="s">
        <v>993</v>
      </c>
    </row>
    <row r="14" spans="1:18" ht="44.25" customHeight="1" x14ac:dyDescent="0.25">
      <c r="A14" s="475">
        <v>209105</v>
      </c>
      <c r="B14" s="346">
        <v>900110</v>
      </c>
      <c r="C14" s="465" t="s">
        <v>615</v>
      </c>
      <c r="D14" s="135" t="s">
        <v>616</v>
      </c>
      <c r="E14" s="385" t="s">
        <v>384</v>
      </c>
      <c r="F14" s="477">
        <f>NL_Calendario!F17</f>
        <v>788118.00000000012</v>
      </c>
      <c r="G14" s="474">
        <f>+F14/12</f>
        <v>65676.500000000015</v>
      </c>
      <c r="H14" s="65">
        <f ca="1">NL_Calendario!T17</f>
        <v>582522.00000000012</v>
      </c>
      <c r="I14" s="65">
        <f>NL_Calendario!T18</f>
        <v>582517.43000000005</v>
      </c>
      <c r="J14" s="73">
        <f ca="1">H14-I14</f>
        <v>4.5700000000651926</v>
      </c>
      <c r="K14" s="74">
        <f t="shared" ca="1" si="0"/>
        <v>7.8451972630479052E-4</v>
      </c>
      <c r="L14" s="75">
        <f t="shared" ca="1" si="1"/>
        <v>99.999215480273691</v>
      </c>
      <c r="M14" s="76" t="s">
        <v>993</v>
      </c>
      <c r="P14" s="478"/>
      <c r="Q14" s="478"/>
      <c r="R14" s="479"/>
    </row>
    <row r="15" spans="1:18" ht="45.75" customHeight="1" thickBot="1" x14ac:dyDescent="0.3">
      <c r="A15" s="480">
        <v>209106</v>
      </c>
      <c r="B15" s="481">
        <v>900100</v>
      </c>
      <c r="C15" s="482" t="s">
        <v>617</v>
      </c>
      <c r="D15" s="143" t="s">
        <v>618</v>
      </c>
      <c r="E15" s="399" t="s">
        <v>384</v>
      </c>
      <c r="F15" s="483">
        <f>NL_Calendario!F19</f>
        <v>1340496</v>
      </c>
      <c r="G15" s="484">
        <f>+F15/12</f>
        <v>111708</v>
      </c>
      <c r="H15" s="65">
        <f ca="1">NL_Calendario!T19</f>
        <v>1005372</v>
      </c>
      <c r="I15" s="65">
        <f>NL_Calendario!T20</f>
        <v>1005372</v>
      </c>
      <c r="J15" s="81">
        <f ca="1">H15-I15</f>
        <v>0</v>
      </c>
      <c r="K15" s="82">
        <f t="shared" ca="1" si="0"/>
        <v>0</v>
      </c>
      <c r="L15" s="83">
        <f t="shared" ca="1" si="1"/>
        <v>100</v>
      </c>
      <c r="M15" s="76" t="s">
        <v>993</v>
      </c>
      <c r="P15" s="485"/>
      <c r="Q15" s="486"/>
      <c r="R15" s="479"/>
    </row>
    <row r="16" spans="1:18" ht="52.5" hidden="1" customHeight="1" thickBot="1" x14ac:dyDescent="0.3">
      <c r="A16" s="487">
        <v>208002</v>
      </c>
      <c r="B16" s="488">
        <v>920201</v>
      </c>
      <c r="C16" s="419" t="s">
        <v>619</v>
      </c>
      <c r="D16" s="212" t="s">
        <v>620</v>
      </c>
      <c r="E16" s="489" t="s">
        <v>621</v>
      </c>
      <c r="F16" s="490"/>
      <c r="G16" s="491"/>
      <c r="H16" s="285"/>
      <c r="I16" s="492"/>
      <c r="J16" s="218">
        <f>+I16-H16</f>
        <v>0</v>
      </c>
      <c r="K16" s="403" t="e">
        <f t="shared" si="0"/>
        <v>#DIV/0!</v>
      </c>
      <c r="L16" s="404" t="e">
        <f t="shared" si="1"/>
        <v>#DIV/0!</v>
      </c>
      <c r="M16" s="493" t="s">
        <v>624</v>
      </c>
      <c r="P16" s="485"/>
      <c r="Q16" s="486"/>
      <c r="R16" s="479"/>
    </row>
    <row r="17" spans="1:19" ht="96" hidden="1" customHeight="1" thickBot="1" x14ac:dyDescent="0.3">
      <c r="A17" s="494">
        <v>209001</v>
      </c>
      <c r="B17" s="495" t="s">
        <v>37</v>
      </c>
      <c r="C17" s="184"/>
      <c r="D17" s="442" t="s">
        <v>622</v>
      </c>
      <c r="E17" s="496" t="s">
        <v>180</v>
      </c>
      <c r="F17" s="497"/>
      <c r="G17" s="498"/>
      <c r="H17" s="127">
        <f>+[40]NL!$T$22</f>
        <v>0</v>
      </c>
      <c r="I17" s="499">
        <f>+[40]NL!$T$23</f>
        <v>0</v>
      </c>
      <c r="J17" s="224">
        <f>+I17-H17</f>
        <v>0</v>
      </c>
      <c r="K17" s="361" t="e">
        <f t="shared" si="0"/>
        <v>#DIV/0!</v>
      </c>
      <c r="L17" s="239" t="e">
        <f t="shared" si="1"/>
        <v>#DIV/0!</v>
      </c>
      <c r="M17" s="493"/>
      <c r="P17" s="485"/>
      <c r="Q17" s="486"/>
      <c r="R17" s="479"/>
    </row>
    <row r="18" spans="1:19" ht="15.75" thickBot="1" x14ac:dyDescent="0.3">
      <c r="A18" s="4"/>
      <c r="B18" s="40">
        <v>4</v>
      </c>
      <c r="C18" s="24">
        <f>COUNT(C13:C16)</f>
        <v>0</v>
      </c>
      <c r="D18" s="389"/>
      <c r="E18" s="500"/>
      <c r="F18" s="85">
        <f>SUM(F12:F17)</f>
        <v>2689984.58</v>
      </c>
      <c r="G18" s="84">
        <f>SUM(G12:G17)</f>
        <v>224165.38166666668</v>
      </c>
      <c r="H18" s="84">
        <f ca="1">SUM(H12:H17)</f>
        <v>2008923</v>
      </c>
      <c r="I18" s="84">
        <f>SUM(I12:I17)</f>
        <v>2008911.86</v>
      </c>
      <c r="J18" s="88">
        <f ca="1">H18-I18</f>
        <v>11.139999999897555</v>
      </c>
      <c r="K18" s="87">
        <f t="shared" ca="1" si="0"/>
        <v>5.5452598232473593E-4</v>
      </c>
      <c r="L18" s="88">
        <f t="shared" ca="1" si="1"/>
        <v>99.999445474017676</v>
      </c>
      <c r="M18" s="5"/>
      <c r="P18" s="485"/>
      <c r="Q18" s="486"/>
      <c r="R18" s="479"/>
    </row>
    <row r="19" spans="1:19" ht="4.5" customHeight="1" x14ac:dyDescent="0.25">
      <c r="F19" s="3"/>
      <c r="G19" s="3"/>
      <c r="H19" s="2"/>
      <c r="I19" s="2"/>
      <c r="J19" s="2"/>
      <c r="K19" s="2"/>
      <c r="L19" s="2"/>
      <c r="M19" s="857"/>
      <c r="P19" s="485"/>
      <c r="Q19" s="486"/>
      <c r="R19" s="479"/>
    </row>
    <row r="20" spans="1:19" ht="31.5" customHeight="1" x14ac:dyDescent="0.25">
      <c r="F20" s="2"/>
      <c r="G20" s="2"/>
      <c r="H20" s="2"/>
      <c r="I20" s="2"/>
      <c r="J20" s="2"/>
      <c r="K20" s="2"/>
      <c r="L20" s="2"/>
      <c r="M20" s="857"/>
      <c r="P20" s="485"/>
      <c r="Q20" s="486"/>
      <c r="R20" s="479"/>
    </row>
    <row r="21" spans="1:19" ht="31.5" customHeight="1" x14ac:dyDescent="0.25">
      <c r="P21" s="485"/>
      <c r="Q21" s="486"/>
      <c r="R21" s="479"/>
    </row>
    <row r="22" spans="1:19" x14ac:dyDescent="0.25">
      <c r="P22" s="485"/>
      <c r="Q22" s="486"/>
      <c r="R22" s="479"/>
    </row>
    <row r="23" spans="1:19" x14ac:dyDescent="0.25">
      <c r="P23" s="485"/>
      <c r="Q23" s="486"/>
      <c r="R23" s="479"/>
    </row>
    <row r="24" spans="1:19" x14ac:dyDescent="0.25">
      <c r="P24" s="485"/>
      <c r="Q24" s="486"/>
      <c r="R24" s="479"/>
    </row>
    <row r="25" spans="1:19" x14ac:dyDescent="0.25">
      <c r="P25" s="485"/>
      <c r="Q25" s="486"/>
      <c r="R25" s="479"/>
    </row>
    <row r="26" spans="1:19" x14ac:dyDescent="0.25">
      <c r="P26" s="9"/>
      <c r="Q26" s="9"/>
      <c r="R26" s="9"/>
      <c r="S26" s="192"/>
    </row>
    <row r="27" spans="1:19" x14ac:dyDescent="0.25">
      <c r="P27" s="9"/>
    </row>
  </sheetData>
  <mergeCells count="12">
    <mergeCell ref="M10:M11"/>
    <mergeCell ref="M19:M20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hyperlinks>
    <hyperlink ref="E12" r:id="rId1" display="OFICINAS ADMINISTRATIVAS DE LA SUBDELEGACION METROPOLITANA NORTE"/>
    <hyperlink ref="E13" r:id="rId2" display="Oficinas Administrativas de la Subdelegación Metropolitana Sur"/>
    <hyperlink ref="E14" r:id="rId3" display="Centro de Capacitación"/>
    <hyperlink ref="E16" r:id="rId4" display="Almacén Delegacional, Oficinas de la Coordinación Delegacional, Bod.  Bienes Emb. y Arch. Conc."/>
  </hyperlinks>
  <printOptions horizontalCentered="1" verticalCentered="1"/>
  <pageMargins left="0.59055118110236227" right="0.39370078740157483" top="0.15748031496062992" bottom="0.15748031496062992" header="0.31496062992125984" footer="0.31496062992125984"/>
  <pageSetup scale="62" fitToHeight="21" orientation="landscape" r:id="rId5"/>
  <drawing r:id="rId6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view="pageBreakPreview" zoomScale="80" zoomScaleNormal="100" zoomScaleSheetLayoutView="80" zoomScalePageLayoutView="80" workbookViewId="0">
      <pane xSplit="6" ySplit="12" topLeftCell="G15" activePane="bottomRight" state="frozen"/>
      <selection pane="topRight" activeCell="G1" sqref="G1"/>
      <selection pane="bottomLeft" activeCell="A12" sqref="A12"/>
      <selection pane="bottomRight" activeCell="I29" sqref="I29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19.28515625" customWidth="1"/>
    <col min="7" max="7" width="15" customWidth="1"/>
    <col min="8" max="8" width="17.42578125" customWidth="1"/>
    <col min="9" max="9" width="17.85546875" customWidth="1"/>
    <col min="10" max="10" width="19.140625" customWidth="1"/>
    <col min="11" max="11" width="17.42578125" customWidth="1"/>
    <col min="12" max="12" width="18" customWidth="1"/>
    <col min="13" max="13" width="16.85546875" customWidth="1"/>
    <col min="14" max="14" width="19" customWidth="1"/>
    <col min="15" max="16" width="18.42578125" customWidth="1"/>
    <col min="17" max="17" width="16.85546875" customWidth="1"/>
    <col min="18" max="18" width="17.85546875" customWidth="1"/>
    <col min="19" max="19" width="17.4257812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139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45.75" customHeight="1" thickTop="1" thickBot="1" x14ac:dyDescent="0.3">
      <c r="A13" s="417">
        <v>200222</v>
      </c>
      <c r="B13" s="416">
        <v>202442</v>
      </c>
      <c r="C13" s="421" t="s">
        <v>610</v>
      </c>
      <c r="D13" s="873" t="s">
        <v>611</v>
      </c>
      <c r="E13" s="963" t="s">
        <v>612</v>
      </c>
      <c r="F13" s="989">
        <f>SUM(H13:S13)</f>
        <v>97440</v>
      </c>
      <c r="G13" s="245" t="s">
        <v>52</v>
      </c>
      <c r="H13" s="166"/>
      <c r="I13" s="166">
        <f t="shared" ref="I13:S13" si="0">VLOOKUP($A13&amp;$B13&amp;I$10,Base,8,FALSE)</f>
        <v>8120</v>
      </c>
      <c r="J13" s="166">
        <f t="shared" si="0"/>
        <v>8120</v>
      </c>
      <c r="K13" s="166">
        <f t="shared" si="0"/>
        <v>8120</v>
      </c>
      <c r="L13" s="166">
        <f t="shared" si="0"/>
        <v>8120</v>
      </c>
      <c r="M13" s="166">
        <f t="shared" si="0"/>
        <v>8120</v>
      </c>
      <c r="N13" s="166">
        <f t="shared" si="0"/>
        <v>8120</v>
      </c>
      <c r="O13" s="166">
        <f t="shared" si="0"/>
        <v>8120</v>
      </c>
      <c r="P13" s="166">
        <f t="shared" si="0"/>
        <v>8120</v>
      </c>
      <c r="Q13" s="166">
        <f t="shared" si="0"/>
        <v>8120</v>
      </c>
      <c r="R13" s="166">
        <f t="shared" si="0"/>
        <v>8120</v>
      </c>
      <c r="S13" s="166">
        <f t="shared" si="0"/>
        <v>16240</v>
      </c>
      <c r="T13" s="166">
        <f ca="1">SUM($H13:(OFFSET($H13,0,AVANCE060826!$T$2)))</f>
        <v>73080</v>
      </c>
      <c r="U13" s="903"/>
    </row>
    <row r="14" spans="1:21" ht="45.75" customHeight="1" thickTop="1" x14ac:dyDescent="0.25">
      <c r="A14" s="417">
        <v>200222</v>
      </c>
      <c r="B14" s="416">
        <v>202442</v>
      </c>
      <c r="C14" s="421"/>
      <c r="D14" s="873"/>
      <c r="E14" s="963"/>
      <c r="F14" s="989"/>
      <c r="G14" s="245" t="s">
        <v>53</v>
      </c>
      <c r="H14" s="166"/>
      <c r="I14" s="166">
        <f t="shared" ref="I14:S14" si="1">VLOOKUP($A14&amp;$B14&amp;I$10,Base,9,FALSE)</f>
        <v>8120</v>
      </c>
      <c r="J14" s="166">
        <f t="shared" si="1"/>
        <v>8120</v>
      </c>
      <c r="K14" s="166">
        <f t="shared" si="1"/>
        <v>8120</v>
      </c>
      <c r="L14" s="166">
        <f t="shared" si="1"/>
        <v>8120</v>
      </c>
      <c r="M14" s="166">
        <f t="shared" si="1"/>
        <v>8120</v>
      </c>
      <c r="N14" s="166">
        <f t="shared" si="1"/>
        <v>8120</v>
      </c>
      <c r="O14" s="166">
        <f t="shared" si="1"/>
        <v>8120</v>
      </c>
      <c r="P14" s="166">
        <f t="shared" si="1"/>
        <v>8120</v>
      </c>
      <c r="Q14" s="166">
        <f t="shared" si="1"/>
        <v>8120</v>
      </c>
      <c r="R14" s="166">
        <f t="shared" si="1"/>
        <v>0</v>
      </c>
      <c r="S14" s="166">
        <f t="shared" si="1"/>
        <v>0</v>
      </c>
      <c r="T14" s="166">
        <f t="shared" ref="T14:T24" si="2">SUM(H14:S14)</f>
        <v>73080</v>
      </c>
      <c r="U14" s="903"/>
    </row>
    <row r="15" spans="1:21" ht="96.75" customHeight="1" x14ac:dyDescent="0.25">
      <c r="A15" s="346">
        <v>310203</v>
      </c>
      <c r="B15" s="345">
        <v>205307</v>
      </c>
      <c r="C15" s="347" t="s">
        <v>613</v>
      </c>
      <c r="D15" s="873" t="s">
        <v>614</v>
      </c>
      <c r="E15" s="963" t="s">
        <v>442</v>
      </c>
      <c r="F15" s="989">
        <f>SUM(H15:S15)</f>
        <v>463930.58</v>
      </c>
      <c r="G15" s="245" t="s">
        <v>52</v>
      </c>
      <c r="H15" s="166"/>
      <c r="I15" s="166">
        <f t="shared" ref="I15:S15" si="3">VLOOKUP($A15&amp;$B15&amp;I$10,Base,8,FALSE)</f>
        <v>38660.269999999997</v>
      </c>
      <c r="J15" s="166">
        <f t="shared" si="3"/>
        <v>38660.269999999997</v>
      </c>
      <c r="K15" s="166">
        <f t="shared" si="3"/>
        <v>38660.269999999997</v>
      </c>
      <c r="L15" s="166">
        <f t="shared" si="3"/>
        <v>38660.269999999997</v>
      </c>
      <c r="M15" s="166">
        <f t="shared" si="3"/>
        <v>38660.269999999997</v>
      </c>
      <c r="N15" s="166">
        <f t="shared" si="3"/>
        <v>38660.269999999997</v>
      </c>
      <c r="O15" s="166">
        <f t="shared" si="3"/>
        <v>38660.269999999997</v>
      </c>
      <c r="P15" s="166">
        <f t="shared" si="3"/>
        <v>38660.269999999997</v>
      </c>
      <c r="Q15" s="166">
        <f t="shared" si="3"/>
        <v>38666.839999999997</v>
      </c>
      <c r="R15" s="166">
        <f t="shared" si="3"/>
        <v>38661</v>
      </c>
      <c r="S15" s="166">
        <f t="shared" si="3"/>
        <v>77320.58</v>
      </c>
      <c r="T15" s="166">
        <f ca="1">SUM($H15:(OFFSET($H15,0,AVANCE060826!$T$2)))</f>
        <v>347949</v>
      </c>
      <c r="U15" s="903"/>
    </row>
    <row r="16" spans="1:21" ht="46.5" customHeight="1" x14ac:dyDescent="0.25">
      <c r="A16" s="346">
        <v>310203</v>
      </c>
      <c r="B16" s="345">
        <v>205307</v>
      </c>
      <c r="C16" s="347"/>
      <c r="D16" s="873"/>
      <c r="E16" s="963"/>
      <c r="F16" s="989"/>
      <c r="G16" s="245" t="s">
        <v>53</v>
      </c>
      <c r="H16" s="166"/>
      <c r="I16" s="166">
        <f t="shared" ref="I16:S16" si="4">VLOOKUP($A16&amp;$B16&amp;I$10,Base,9,FALSE)</f>
        <v>38660.269999999997</v>
      </c>
      <c r="J16" s="166">
        <f t="shared" si="4"/>
        <v>38660.269999999997</v>
      </c>
      <c r="K16" s="166">
        <f t="shared" si="4"/>
        <v>38660.269999999997</v>
      </c>
      <c r="L16" s="166">
        <f t="shared" si="4"/>
        <v>38660.269999999997</v>
      </c>
      <c r="M16" s="166">
        <f t="shared" si="4"/>
        <v>38660.269999999997</v>
      </c>
      <c r="N16" s="166">
        <f t="shared" si="4"/>
        <v>38660.269999999997</v>
      </c>
      <c r="O16" s="166">
        <f t="shared" si="4"/>
        <v>38660.269999999997</v>
      </c>
      <c r="P16" s="166">
        <f t="shared" si="4"/>
        <v>38660.269999999997</v>
      </c>
      <c r="Q16" s="166">
        <f t="shared" si="4"/>
        <v>38660.269999999997</v>
      </c>
      <c r="R16" s="166">
        <f t="shared" si="4"/>
        <v>0</v>
      </c>
      <c r="S16" s="166">
        <f t="shared" si="4"/>
        <v>0</v>
      </c>
      <c r="T16" s="166">
        <f t="shared" si="2"/>
        <v>347942.43</v>
      </c>
      <c r="U16" s="903"/>
    </row>
    <row r="17" spans="1:21" ht="50.25" customHeight="1" x14ac:dyDescent="0.25">
      <c r="A17" s="346">
        <v>900110</v>
      </c>
      <c r="B17" s="345">
        <v>209105</v>
      </c>
      <c r="C17" s="465" t="s">
        <v>615</v>
      </c>
      <c r="D17" s="873" t="s">
        <v>616</v>
      </c>
      <c r="E17" s="873" t="s">
        <v>384</v>
      </c>
      <c r="F17" s="989">
        <f>SUM(H17:S17)</f>
        <v>788118.00000000012</v>
      </c>
      <c r="G17" s="245" t="s">
        <v>52</v>
      </c>
      <c r="H17" s="166"/>
      <c r="I17" s="166">
        <f t="shared" ref="I17:S17" si="5">VLOOKUP($A17&amp;$B17&amp;I$10,Base,8,FALSE)</f>
        <v>57109.55</v>
      </c>
      <c r="J17" s="166">
        <f t="shared" si="5"/>
        <v>57109.55</v>
      </c>
      <c r="K17" s="166">
        <f t="shared" si="5"/>
        <v>57109.55</v>
      </c>
      <c r="L17" s="166">
        <f t="shared" si="5"/>
        <v>57109.55</v>
      </c>
      <c r="M17" s="166">
        <f t="shared" si="5"/>
        <v>79953.39</v>
      </c>
      <c r="N17" s="166">
        <f t="shared" si="5"/>
        <v>68531.460000000006</v>
      </c>
      <c r="O17" s="166">
        <f t="shared" si="5"/>
        <v>68531.460000000006</v>
      </c>
      <c r="P17" s="166">
        <f t="shared" si="5"/>
        <v>68531.460000000006</v>
      </c>
      <c r="Q17" s="166">
        <f t="shared" si="5"/>
        <v>68536.03</v>
      </c>
      <c r="R17" s="166">
        <f t="shared" si="5"/>
        <v>68532</v>
      </c>
      <c r="S17" s="166">
        <f t="shared" si="5"/>
        <v>137064</v>
      </c>
      <c r="T17" s="166">
        <f ca="1">SUM($H17:(OFFSET($H17,0,AVANCE060826!$T$2)))</f>
        <v>582522.00000000012</v>
      </c>
      <c r="U17" s="903"/>
    </row>
    <row r="18" spans="1:21" ht="50.25" customHeight="1" x14ac:dyDescent="0.25">
      <c r="A18" s="346">
        <v>900110</v>
      </c>
      <c r="B18" s="345">
        <v>209105</v>
      </c>
      <c r="C18" s="465"/>
      <c r="D18" s="873"/>
      <c r="E18" s="873"/>
      <c r="F18" s="989"/>
      <c r="G18" s="245" t="s">
        <v>53</v>
      </c>
      <c r="H18" s="166"/>
      <c r="I18" s="166">
        <f t="shared" ref="I18:S18" si="6">VLOOKUP($A18&amp;$B18&amp;I$10,Base,9,FALSE)</f>
        <v>57109.55</v>
      </c>
      <c r="J18" s="166">
        <f t="shared" si="6"/>
        <v>57109.55</v>
      </c>
      <c r="K18" s="166">
        <f t="shared" si="6"/>
        <v>57109.55</v>
      </c>
      <c r="L18" s="166">
        <f t="shared" si="6"/>
        <v>57109.55</v>
      </c>
      <c r="M18" s="166">
        <f t="shared" si="6"/>
        <v>79953.39</v>
      </c>
      <c r="N18" s="166">
        <f t="shared" si="6"/>
        <v>68531.460000000006</v>
      </c>
      <c r="O18" s="166">
        <f t="shared" si="6"/>
        <v>68531.460000000006</v>
      </c>
      <c r="P18" s="166">
        <f t="shared" si="6"/>
        <v>68531.460000000006</v>
      </c>
      <c r="Q18" s="166">
        <f t="shared" si="6"/>
        <v>68531.460000000006</v>
      </c>
      <c r="R18" s="166">
        <f t="shared" si="6"/>
        <v>0</v>
      </c>
      <c r="S18" s="166">
        <f t="shared" si="6"/>
        <v>0</v>
      </c>
      <c r="T18" s="166">
        <f t="shared" si="2"/>
        <v>582517.43000000005</v>
      </c>
      <c r="U18" s="903"/>
    </row>
    <row r="19" spans="1:21" ht="66" customHeight="1" x14ac:dyDescent="0.25">
      <c r="A19" s="346">
        <v>900110</v>
      </c>
      <c r="B19" s="345">
        <v>209106</v>
      </c>
      <c r="C19" s="347" t="s">
        <v>617</v>
      </c>
      <c r="D19" s="873" t="s">
        <v>618</v>
      </c>
      <c r="E19" s="963" t="s">
        <v>384</v>
      </c>
      <c r="F19" s="989">
        <f>SUM(H19:S19)</f>
        <v>1340496</v>
      </c>
      <c r="G19" s="245" t="s">
        <v>52</v>
      </c>
      <c r="H19" s="166"/>
      <c r="I19" s="166">
        <f t="shared" ref="I19:S19" si="7">VLOOKUP($A19&amp;$B19&amp;I$10,Base,8,FALSE)</f>
        <v>111708</v>
      </c>
      <c r="J19" s="166">
        <f t="shared" si="7"/>
        <v>111708</v>
      </c>
      <c r="K19" s="166">
        <f t="shared" si="7"/>
        <v>111708</v>
      </c>
      <c r="L19" s="166">
        <f t="shared" si="7"/>
        <v>111708</v>
      </c>
      <c r="M19" s="166">
        <f t="shared" si="7"/>
        <v>111708</v>
      </c>
      <c r="N19" s="166">
        <f t="shared" si="7"/>
        <v>111708</v>
      </c>
      <c r="O19" s="166">
        <f t="shared" si="7"/>
        <v>111708</v>
      </c>
      <c r="P19" s="166">
        <f t="shared" si="7"/>
        <v>111708</v>
      </c>
      <c r="Q19" s="166">
        <f t="shared" si="7"/>
        <v>111708</v>
      </c>
      <c r="R19" s="166">
        <f t="shared" si="7"/>
        <v>111708</v>
      </c>
      <c r="S19" s="166">
        <f t="shared" si="7"/>
        <v>223416</v>
      </c>
      <c r="T19" s="166">
        <f ca="1">SUM($H19:(OFFSET($H19,0,AVANCE060826!$T$2)))</f>
        <v>1005372</v>
      </c>
      <c r="U19" s="903"/>
    </row>
    <row r="20" spans="1:21" ht="53.25" customHeight="1" x14ac:dyDescent="0.25">
      <c r="A20" s="346">
        <v>900110</v>
      </c>
      <c r="B20" s="345">
        <v>209106</v>
      </c>
      <c r="C20" s="347"/>
      <c r="D20" s="873"/>
      <c r="E20" s="963"/>
      <c r="F20" s="989"/>
      <c r="G20" s="245" t="s">
        <v>53</v>
      </c>
      <c r="H20" s="166"/>
      <c r="I20" s="166">
        <f t="shared" ref="I20:S20" si="8">VLOOKUP($A20&amp;$B20&amp;I$10,Base,9,FALSE)</f>
        <v>111708</v>
      </c>
      <c r="J20" s="166">
        <f t="shared" si="8"/>
        <v>111708</v>
      </c>
      <c r="K20" s="166">
        <f t="shared" si="8"/>
        <v>111708</v>
      </c>
      <c r="L20" s="166">
        <f t="shared" si="8"/>
        <v>111708</v>
      </c>
      <c r="M20" s="166">
        <f t="shared" si="8"/>
        <v>111708</v>
      </c>
      <c r="N20" s="166">
        <f t="shared" si="8"/>
        <v>111708</v>
      </c>
      <c r="O20" s="166">
        <f t="shared" si="8"/>
        <v>111708</v>
      </c>
      <c r="P20" s="166">
        <f t="shared" si="8"/>
        <v>111708</v>
      </c>
      <c r="Q20" s="166">
        <f t="shared" si="8"/>
        <v>111708</v>
      </c>
      <c r="R20" s="166">
        <f t="shared" si="8"/>
        <v>0</v>
      </c>
      <c r="S20" s="166">
        <f t="shared" si="8"/>
        <v>0</v>
      </c>
      <c r="T20" s="166">
        <f t="shared" si="2"/>
        <v>1005372</v>
      </c>
      <c r="U20" s="903"/>
    </row>
    <row r="21" spans="1:21" ht="84" hidden="1" customHeight="1" x14ac:dyDescent="0.25">
      <c r="A21" s="467">
        <v>920201</v>
      </c>
      <c r="B21" s="466">
        <v>208002</v>
      </c>
      <c r="C21" s="347" t="s">
        <v>619</v>
      </c>
      <c r="D21" s="873" t="s">
        <v>620</v>
      </c>
      <c r="E21" s="963" t="s">
        <v>621</v>
      </c>
      <c r="F21" s="989"/>
      <c r="G21" s="245" t="s">
        <v>52</v>
      </c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>
        <f t="shared" si="2"/>
        <v>0</v>
      </c>
      <c r="U21" s="903"/>
    </row>
    <row r="22" spans="1:21" ht="45.75" hidden="1" customHeight="1" x14ac:dyDescent="0.25">
      <c r="A22" s="467"/>
      <c r="B22" s="466"/>
      <c r="C22" s="347"/>
      <c r="D22" s="873"/>
      <c r="E22" s="963"/>
      <c r="F22" s="989"/>
      <c r="G22" s="245" t="s">
        <v>53</v>
      </c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>
        <f t="shared" si="2"/>
        <v>0</v>
      </c>
      <c r="U22" s="903"/>
    </row>
    <row r="23" spans="1:21" ht="82.5" hidden="1" customHeight="1" x14ac:dyDescent="0.25">
      <c r="A23" s="468" t="s">
        <v>37</v>
      </c>
      <c r="B23" s="466">
        <v>209001</v>
      </c>
      <c r="C23" s="347" t="s">
        <v>619</v>
      </c>
      <c r="D23" s="873" t="s">
        <v>622</v>
      </c>
      <c r="E23" s="963" t="s">
        <v>180</v>
      </c>
      <c r="F23" s="989">
        <f>12310*12</f>
        <v>147720</v>
      </c>
      <c r="G23" s="245" t="s">
        <v>52</v>
      </c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>
        <f t="shared" si="2"/>
        <v>0</v>
      </c>
      <c r="U23" s="903"/>
    </row>
    <row r="24" spans="1:21" ht="32.25" hidden="1" customHeight="1" x14ac:dyDescent="0.25">
      <c r="A24" s="470"/>
      <c r="B24" s="469"/>
      <c r="C24" s="184"/>
      <c r="D24" s="873"/>
      <c r="E24" s="963"/>
      <c r="F24" s="989"/>
      <c r="G24" s="245" t="s">
        <v>53</v>
      </c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>
        <f t="shared" si="2"/>
        <v>0</v>
      </c>
      <c r="U24" s="903"/>
    </row>
    <row r="25" spans="1:21" ht="15.75" thickBot="1" x14ac:dyDescent="0.3">
      <c r="A25" s="4">
        <v>4</v>
      </c>
      <c r="B25" s="4"/>
      <c r="C25" s="24">
        <f>COUNT(#REF!)</f>
        <v>0</v>
      </c>
      <c r="D25" s="7"/>
      <c r="E25" s="6"/>
      <c r="F25" s="32">
        <f>SUM(F13:F20)</f>
        <v>2689984.58</v>
      </c>
      <c r="G25" s="245" t="s">
        <v>52</v>
      </c>
      <c r="H25" s="176">
        <f>+H23+H21+H19+H17+H15+H13</f>
        <v>0</v>
      </c>
      <c r="I25" s="176">
        <f t="shared" ref="I25:T26" si="9">+I23+I21+I19+I17+I15+I13</f>
        <v>215597.81999999998</v>
      </c>
      <c r="J25" s="176">
        <f t="shared" si="9"/>
        <v>215597.81999999998</v>
      </c>
      <c r="K25" s="176">
        <f t="shared" si="9"/>
        <v>215597.81999999998</v>
      </c>
      <c r="L25" s="176">
        <f t="shared" si="9"/>
        <v>215597.81999999998</v>
      </c>
      <c r="M25" s="176">
        <f t="shared" si="9"/>
        <v>238441.66</v>
      </c>
      <c r="N25" s="176">
        <f t="shared" si="9"/>
        <v>227019.73</v>
      </c>
      <c r="O25" s="176">
        <f t="shared" si="9"/>
        <v>227019.73</v>
      </c>
      <c r="P25" s="176">
        <f t="shared" si="9"/>
        <v>227019.73</v>
      </c>
      <c r="Q25" s="176">
        <f t="shared" si="9"/>
        <v>227030.87</v>
      </c>
      <c r="R25" s="176">
        <f t="shared" si="9"/>
        <v>227021</v>
      </c>
      <c r="S25" s="176">
        <f t="shared" si="9"/>
        <v>454040.58</v>
      </c>
      <c r="T25" s="471">
        <f t="shared" ca="1" si="9"/>
        <v>2008923</v>
      </c>
      <c r="U25" s="5"/>
    </row>
    <row r="26" spans="1:21" ht="31.5" customHeight="1" x14ac:dyDescent="0.25">
      <c r="G26" s="245" t="s">
        <v>53</v>
      </c>
      <c r="H26" s="471">
        <f>+H24+H22+H20+H18+H16+H14</f>
        <v>0</v>
      </c>
      <c r="I26" s="471">
        <f t="shared" si="9"/>
        <v>215597.81999999998</v>
      </c>
      <c r="J26" s="471">
        <f t="shared" si="9"/>
        <v>215597.81999999998</v>
      </c>
      <c r="K26" s="471">
        <f t="shared" si="9"/>
        <v>215597.81999999998</v>
      </c>
      <c r="L26" s="471">
        <f t="shared" si="9"/>
        <v>215597.81999999998</v>
      </c>
      <c r="M26" s="471">
        <f t="shared" si="9"/>
        <v>238441.66</v>
      </c>
      <c r="N26" s="471">
        <f t="shared" si="9"/>
        <v>227019.73</v>
      </c>
      <c r="O26" s="471">
        <f t="shared" si="9"/>
        <v>227019.73</v>
      </c>
      <c r="P26" s="471">
        <f t="shared" si="9"/>
        <v>227019.73</v>
      </c>
      <c r="Q26" s="471">
        <f t="shared" si="9"/>
        <v>227019.73</v>
      </c>
      <c r="R26" s="471">
        <f t="shared" si="9"/>
        <v>0</v>
      </c>
      <c r="S26" s="471">
        <f t="shared" si="9"/>
        <v>0</v>
      </c>
      <c r="T26" s="471">
        <f t="shared" si="9"/>
        <v>2008911.86</v>
      </c>
    </row>
  </sheetData>
  <mergeCells count="44">
    <mergeCell ref="U23:U24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48" fitToHeight="21" orientation="landscape" r:id="rId1"/>
  <ignoredErrors>
    <ignoredError sqref="T14:T18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zoomScaleNormal="100" zoomScaleSheetLayoutView="90" zoomScalePageLayoutView="80" workbookViewId="0">
      <pane xSplit="3" ySplit="11" topLeftCell="F30" activePane="bottomRight" state="frozen"/>
      <selection pane="topRight" activeCell="D1" sqref="D1"/>
      <selection pane="bottomLeft" activeCell="A12" sqref="A12"/>
      <selection pane="bottomRight" activeCell="O32" sqref="O32"/>
    </sheetView>
  </sheetViews>
  <sheetFormatPr baseColWidth="10" defaultRowHeight="15" x14ac:dyDescent="0.25"/>
  <cols>
    <col min="1" max="1" width="11.285156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7.28515625" style="192" customWidth="1"/>
    <col min="7" max="7" width="15" style="192" customWidth="1"/>
    <col min="8" max="8" width="19.140625" customWidth="1"/>
    <col min="9" max="9" width="16.7109375" customWidth="1"/>
    <col min="10" max="10" width="14.7109375" customWidth="1"/>
    <col min="11" max="11" width="11.7109375" hidden="1" customWidth="1"/>
    <col min="12" max="12" width="10.28515625" hidden="1" customWidth="1"/>
    <col min="13" max="13" width="47.140625" customWidth="1"/>
    <col min="14" max="14" width="1.28515625" customWidth="1"/>
    <col min="15" max="16360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501"/>
      <c r="G6" s="501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28.5" customHeight="1" x14ac:dyDescent="0.25">
      <c r="D8" s="39" t="s">
        <v>31</v>
      </c>
      <c r="E8" s="10" t="s">
        <v>140</v>
      </c>
      <c r="H8" s="9"/>
      <c r="I8" s="9"/>
      <c r="J8" s="9"/>
    </row>
    <row r="9" spans="1:13" ht="6" customHeight="1" thickBot="1" x14ac:dyDescent="0.3">
      <c r="F9" s="343"/>
      <c r="G9" s="343"/>
      <c r="H9" s="9"/>
      <c r="I9" s="9"/>
    </row>
    <row r="10" spans="1:13" ht="36" customHeight="1" x14ac:dyDescent="0.25">
      <c r="A10" s="842" t="s">
        <v>18</v>
      </c>
      <c r="B10" s="870"/>
      <c r="C10" s="871" t="s">
        <v>17</v>
      </c>
      <c r="D10" s="846" t="s">
        <v>16</v>
      </c>
      <c r="E10" s="847" t="s">
        <v>15</v>
      </c>
      <c r="F10" s="991" t="s">
        <v>26</v>
      </c>
      <c r="G10" s="993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x14ac:dyDescent="0.25">
      <c r="A11" s="365" t="s">
        <v>13</v>
      </c>
      <c r="B11" s="510" t="s">
        <v>12</v>
      </c>
      <c r="C11" s="990"/>
      <c r="D11" s="891"/>
      <c r="E11" s="892"/>
      <c r="F11" s="992"/>
      <c r="G11" s="994"/>
      <c r="H11" s="414" t="s">
        <v>91</v>
      </c>
      <c r="I11" s="511" t="s">
        <v>92</v>
      </c>
      <c r="J11" s="367" t="s">
        <v>962</v>
      </c>
      <c r="K11" s="368" t="s">
        <v>29</v>
      </c>
      <c r="L11" s="946"/>
      <c r="M11" s="947"/>
    </row>
    <row r="12" spans="1:13" ht="45.75" customHeight="1" x14ac:dyDescent="0.25">
      <c r="A12" s="502">
        <v>212418</v>
      </c>
      <c r="B12" s="512">
        <v>200200</v>
      </c>
      <c r="C12" s="513" t="s">
        <v>625</v>
      </c>
      <c r="D12" s="240" t="s">
        <v>626</v>
      </c>
      <c r="E12" s="397" t="s">
        <v>627</v>
      </c>
      <c r="F12" s="166">
        <f>OAX_Calendario!F13</f>
        <v>125280</v>
      </c>
      <c r="G12" s="166">
        <f>F12/12</f>
        <v>10440</v>
      </c>
      <c r="H12" s="67">
        <f ca="1">OAX_Calendario!T13</f>
        <v>90480</v>
      </c>
      <c r="I12" s="67">
        <f>OAX_Calendario!T14</f>
        <v>78879.679999999993</v>
      </c>
      <c r="J12" s="67">
        <f ca="1">+I12-H12</f>
        <v>-11600.320000000007</v>
      </c>
      <c r="K12" s="67">
        <f ca="1">+J12/H12*100</f>
        <v>-12.820866489832014</v>
      </c>
      <c r="L12" s="67">
        <f ca="1">+I12/H12*100</f>
        <v>87.179133510167986</v>
      </c>
      <c r="M12" s="255" t="s">
        <v>976</v>
      </c>
    </row>
    <row r="13" spans="1:13" ht="63.75" customHeight="1" x14ac:dyDescent="0.25">
      <c r="A13" s="502">
        <v>212404</v>
      </c>
      <c r="B13" s="512">
        <v>200200</v>
      </c>
      <c r="C13" s="513" t="s">
        <v>630</v>
      </c>
      <c r="D13" s="240" t="s">
        <v>631</v>
      </c>
      <c r="E13" s="397" t="s">
        <v>632</v>
      </c>
      <c r="F13" s="166">
        <f>OAX_Calendario!F15</f>
        <v>118320</v>
      </c>
      <c r="G13" s="166">
        <f t="shared" ref="G13:G30" si="0">F13/12</f>
        <v>9860</v>
      </c>
      <c r="H13" s="67">
        <f ca="1">OAX_Calendario!T15</f>
        <v>88740</v>
      </c>
      <c r="I13" s="67">
        <f>OAX_Calendario!T16</f>
        <v>78880</v>
      </c>
      <c r="J13" s="67">
        <f t="shared" ref="J13:J32" ca="1" si="1">H13-I13</f>
        <v>9860</v>
      </c>
      <c r="K13" s="67">
        <f ca="1">+J13/H13*100</f>
        <v>11.111111111111111</v>
      </c>
      <c r="L13" s="67">
        <f ca="1">+I13/H13*100</f>
        <v>88.888888888888886</v>
      </c>
      <c r="M13" s="255" t="s">
        <v>976</v>
      </c>
    </row>
    <row r="14" spans="1:13" ht="76.5" customHeight="1" x14ac:dyDescent="0.25">
      <c r="A14" s="502">
        <v>216301</v>
      </c>
      <c r="B14" s="512">
        <v>320200</v>
      </c>
      <c r="C14" s="513" t="s">
        <v>633</v>
      </c>
      <c r="D14" s="240" t="s">
        <v>634</v>
      </c>
      <c r="E14" s="397" t="s">
        <v>635</v>
      </c>
      <c r="F14" s="166">
        <f>OAX_Calendario!F17</f>
        <v>1809600</v>
      </c>
      <c r="G14" s="166">
        <f t="shared" si="0"/>
        <v>150800</v>
      </c>
      <c r="H14" s="67">
        <f ca="1">OAX_Calendario!T17</f>
        <v>1357200</v>
      </c>
      <c r="I14" s="67">
        <f>OAX_Calendario!T18</f>
        <v>1357199.99</v>
      </c>
      <c r="J14" s="67">
        <f t="shared" ca="1" si="1"/>
        <v>1.0000000009313226E-2</v>
      </c>
      <c r="K14" s="67">
        <f t="shared" ref="K14:K25" ca="1" si="2">+J14/H14*100</f>
        <v>7.3681108232487668E-7</v>
      </c>
      <c r="L14" s="67">
        <f t="shared" ref="L14:L25" ca="1" si="3">+I14/H14*100</f>
        <v>99.999999263188926</v>
      </c>
      <c r="M14" s="255" t="s">
        <v>976</v>
      </c>
    </row>
    <row r="15" spans="1:13" ht="76.5" customHeight="1" x14ac:dyDescent="0.25">
      <c r="A15" s="502">
        <v>215301</v>
      </c>
      <c r="B15" s="512" t="s">
        <v>636</v>
      </c>
      <c r="C15" s="513" t="s">
        <v>633</v>
      </c>
      <c r="D15" s="240" t="s">
        <v>637</v>
      </c>
      <c r="E15" s="397" t="s">
        <v>578</v>
      </c>
      <c r="F15" s="166">
        <f>OAX_Calendario!F19</f>
        <v>1074962.97</v>
      </c>
      <c r="G15" s="166">
        <f t="shared" si="0"/>
        <v>89580.247499999998</v>
      </c>
      <c r="H15" s="67">
        <f ca="1">OAX_Calendario!T19</f>
        <v>795685</v>
      </c>
      <c r="I15" s="67">
        <f>OAX_Calendario!T20</f>
        <v>702586.96</v>
      </c>
      <c r="J15" s="67">
        <f t="shared" ca="1" si="1"/>
        <v>93098.040000000037</v>
      </c>
      <c r="K15" s="67">
        <f t="shared" ca="1" si="2"/>
        <v>11.700363837448242</v>
      </c>
      <c r="L15" s="67">
        <f t="shared" ca="1" si="3"/>
        <v>88.299636162551749</v>
      </c>
      <c r="M15" s="255" t="s">
        <v>976</v>
      </c>
    </row>
    <row r="16" spans="1:13" ht="53.25" customHeight="1" x14ac:dyDescent="0.25">
      <c r="A16" s="502">
        <v>219001</v>
      </c>
      <c r="B16" s="512">
        <v>140100</v>
      </c>
      <c r="C16" s="513" t="s">
        <v>633</v>
      </c>
      <c r="D16" s="240" t="s">
        <v>638</v>
      </c>
      <c r="E16" s="397" t="s">
        <v>364</v>
      </c>
      <c r="F16" s="166">
        <f>OAX_Calendario!F21</f>
        <v>2756588</v>
      </c>
      <c r="G16" s="166">
        <f t="shared" si="0"/>
        <v>229715.66666666666</v>
      </c>
      <c r="H16" s="67">
        <f ca="1">OAX_Calendario!T21</f>
        <v>2011547</v>
      </c>
      <c r="I16" s="67">
        <f>OAX_Calendario!T22</f>
        <v>1763200</v>
      </c>
      <c r="J16" s="67">
        <f t="shared" ca="1" si="1"/>
        <v>248347</v>
      </c>
      <c r="K16" s="67">
        <f t="shared" ca="1" si="2"/>
        <v>12.346069965056746</v>
      </c>
      <c r="L16" s="67">
        <f t="shared" ca="1" si="3"/>
        <v>87.653930034943244</v>
      </c>
      <c r="M16" s="255" t="s">
        <v>976</v>
      </c>
    </row>
    <row r="17" spans="1:13" ht="65.25" customHeight="1" x14ac:dyDescent="0.25">
      <c r="A17" s="502">
        <v>219101</v>
      </c>
      <c r="B17" s="512">
        <v>900110</v>
      </c>
      <c r="C17" s="513" t="s">
        <v>633</v>
      </c>
      <c r="D17" s="240" t="s">
        <v>639</v>
      </c>
      <c r="E17" s="397" t="s">
        <v>640</v>
      </c>
      <c r="F17" s="166">
        <f>OAX_Calendario!F23</f>
        <v>2023259.97</v>
      </c>
      <c r="G17" s="166">
        <f t="shared" si="0"/>
        <v>168604.9975</v>
      </c>
      <c r="H17" s="67">
        <f ca="1">OAX_Calendario!T23</f>
        <v>1517445</v>
      </c>
      <c r="I17" s="67">
        <f>OAX_Calendario!T24</f>
        <v>1517439.33</v>
      </c>
      <c r="J17" s="67">
        <f t="shared" ca="1" si="1"/>
        <v>5.6699999999254942</v>
      </c>
      <c r="K17" s="67">
        <f t="shared" ca="1" si="2"/>
        <v>3.7365439933081555E-4</v>
      </c>
      <c r="L17" s="67">
        <f t="shared" ca="1" si="3"/>
        <v>99.99962634560066</v>
      </c>
      <c r="M17" s="255" t="s">
        <v>994</v>
      </c>
    </row>
    <row r="18" spans="1:13" ht="43.5" customHeight="1" x14ac:dyDescent="0.25">
      <c r="A18" s="502">
        <v>219103</v>
      </c>
      <c r="B18" s="512">
        <v>900110</v>
      </c>
      <c r="C18" s="513" t="s">
        <v>641</v>
      </c>
      <c r="D18" s="240" t="s">
        <v>642</v>
      </c>
      <c r="E18" s="397" t="s">
        <v>190</v>
      </c>
      <c r="F18" s="166">
        <f>OAX_Calendario!F25</f>
        <v>276007.8</v>
      </c>
      <c r="G18" s="166">
        <f t="shared" si="0"/>
        <v>23000.649999999998</v>
      </c>
      <c r="H18" s="67">
        <f ca="1">OAX_Calendario!T25</f>
        <v>207009</v>
      </c>
      <c r="I18" s="67">
        <f>OAX_Calendario!T26</f>
        <v>207003.51</v>
      </c>
      <c r="J18" s="67">
        <f t="shared" ca="1" si="1"/>
        <v>5.4899999999906868</v>
      </c>
      <c r="K18" s="67">
        <f t="shared" ca="1" si="2"/>
        <v>2.6520586061430599E-3</v>
      </c>
      <c r="L18" s="67">
        <f t="shared" ca="1" si="3"/>
        <v>99.997347941393855</v>
      </c>
      <c r="M18" s="255" t="s">
        <v>994</v>
      </c>
    </row>
    <row r="19" spans="1:13" ht="51" customHeight="1" x14ac:dyDescent="0.25">
      <c r="A19" s="502">
        <v>219001</v>
      </c>
      <c r="B19" s="514">
        <v>200100</v>
      </c>
      <c r="C19" s="515" t="s">
        <v>633</v>
      </c>
      <c r="D19" s="396" t="s">
        <v>643</v>
      </c>
      <c r="E19" s="397" t="s">
        <v>644</v>
      </c>
      <c r="F19" s="166">
        <f>OAX_Calendario!F27</f>
        <v>1057920</v>
      </c>
      <c r="G19" s="166">
        <f t="shared" si="0"/>
        <v>88160</v>
      </c>
      <c r="H19" s="67">
        <f ca="1">OAX_Calendario!T27</f>
        <v>793440</v>
      </c>
      <c r="I19" s="67">
        <f>OAX_Calendario!T28</f>
        <v>793440</v>
      </c>
      <c r="J19" s="67">
        <f t="shared" ca="1" si="1"/>
        <v>0</v>
      </c>
      <c r="K19" s="67">
        <f t="shared" ca="1" si="2"/>
        <v>0</v>
      </c>
      <c r="L19" s="67">
        <f t="shared" ca="1" si="3"/>
        <v>100</v>
      </c>
      <c r="M19" s="255" t="s">
        <v>994</v>
      </c>
    </row>
    <row r="20" spans="1:13" ht="42.75" customHeight="1" x14ac:dyDescent="0.25">
      <c r="A20" s="502">
        <v>215903</v>
      </c>
      <c r="B20" s="512">
        <v>380200</v>
      </c>
      <c r="C20" s="516" t="s">
        <v>641</v>
      </c>
      <c r="D20" s="240" t="s">
        <v>645</v>
      </c>
      <c r="E20" s="397" t="s">
        <v>196</v>
      </c>
      <c r="F20" s="166">
        <f>OAX_Calendario!F29</f>
        <v>212795.44</v>
      </c>
      <c r="G20" s="166">
        <f t="shared" si="0"/>
        <v>17732.953333333335</v>
      </c>
      <c r="H20" s="67">
        <f ca="1">OAX_Calendario!T29</f>
        <v>159597</v>
      </c>
      <c r="I20" s="67">
        <f>OAX_Calendario!T30</f>
        <v>137576.79</v>
      </c>
      <c r="J20" s="67">
        <f t="shared" ca="1" si="1"/>
        <v>22020.209999999992</v>
      </c>
      <c r="K20" s="67">
        <f t="shared" ca="1" si="2"/>
        <v>13.797383409462579</v>
      </c>
      <c r="L20" s="67">
        <f t="shared" ca="1" si="3"/>
        <v>86.202616590537417</v>
      </c>
      <c r="M20" s="255" t="s">
        <v>420</v>
      </c>
    </row>
    <row r="21" spans="1:13" ht="50.25" customHeight="1" thickBot="1" x14ac:dyDescent="0.3">
      <c r="A21" s="776">
        <v>215904</v>
      </c>
      <c r="B21" s="512">
        <v>380200</v>
      </c>
      <c r="C21" s="517" t="s">
        <v>646</v>
      </c>
      <c r="D21" s="212" t="s">
        <v>647</v>
      </c>
      <c r="E21" s="489" t="s">
        <v>196</v>
      </c>
      <c r="F21" s="166">
        <f>OAX_Calendario!F31</f>
        <v>292320</v>
      </c>
      <c r="G21" s="166">
        <f t="shared" si="0"/>
        <v>24360</v>
      </c>
      <c r="H21" s="67">
        <f ca="1">OAX_Calendario!T31</f>
        <v>219240</v>
      </c>
      <c r="I21" s="67">
        <f>OAX_Calendario!T32</f>
        <v>188999.91</v>
      </c>
      <c r="J21" s="259">
        <f t="shared" ca="1" si="1"/>
        <v>30240.089999999997</v>
      </c>
      <c r="K21" s="259">
        <f t="shared" ca="1" si="2"/>
        <v>13.793144499178981</v>
      </c>
      <c r="L21" s="259">
        <f t="shared" ca="1" si="3"/>
        <v>86.206855500821021</v>
      </c>
      <c r="M21" s="255" t="s">
        <v>420</v>
      </c>
    </row>
    <row r="22" spans="1:13" ht="45" customHeight="1" x14ac:dyDescent="0.25">
      <c r="A22" s="502">
        <v>215905</v>
      </c>
      <c r="B22" s="512">
        <v>380200</v>
      </c>
      <c r="C22" s="519" t="s">
        <v>648</v>
      </c>
      <c r="D22" s="376" t="s">
        <v>649</v>
      </c>
      <c r="E22" s="520" t="s">
        <v>196</v>
      </c>
      <c r="F22" s="166"/>
      <c r="G22" s="166">
        <f t="shared" si="0"/>
        <v>0</v>
      </c>
      <c r="H22" s="67"/>
      <c r="I22" s="67"/>
      <c r="J22" s="125">
        <f t="shared" si="1"/>
        <v>0</v>
      </c>
      <c r="K22" s="125" t="e">
        <f t="shared" si="2"/>
        <v>#DIV/0!</v>
      </c>
      <c r="L22" s="125" t="e">
        <f t="shared" si="3"/>
        <v>#DIV/0!</v>
      </c>
      <c r="M22" s="255" t="s">
        <v>966</v>
      </c>
    </row>
    <row r="23" spans="1:13" ht="44.25" customHeight="1" x14ac:dyDescent="0.25">
      <c r="A23" s="776">
        <v>215907</v>
      </c>
      <c r="B23" s="512">
        <v>380200</v>
      </c>
      <c r="C23" s="519" t="s">
        <v>650</v>
      </c>
      <c r="D23" s="243" t="s">
        <v>651</v>
      </c>
      <c r="E23" s="397" t="s">
        <v>196</v>
      </c>
      <c r="F23" s="166">
        <f>OAX_Calendario!F35</f>
        <v>178152</v>
      </c>
      <c r="G23" s="166">
        <f t="shared" si="0"/>
        <v>14846</v>
      </c>
      <c r="H23" s="67">
        <f ca="1">OAX_Calendario!T35</f>
        <v>133614</v>
      </c>
      <c r="I23" s="67">
        <f>OAX_Calendario!T36</f>
        <v>115182</v>
      </c>
      <c r="J23" s="67">
        <f t="shared" ca="1" si="1"/>
        <v>18432</v>
      </c>
      <c r="K23" s="67">
        <f t="shared" ca="1" si="2"/>
        <v>13.794961605819751</v>
      </c>
      <c r="L23" s="67">
        <f t="shared" ca="1" si="3"/>
        <v>86.205038394180249</v>
      </c>
      <c r="M23" s="255" t="s">
        <v>375</v>
      </c>
    </row>
    <row r="24" spans="1:13" ht="48" customHeight="1" x14ac:dyDescent="0.25">
      <c r="A24" s="502">
        <v>215906</v>
      </c>
      <c r="B24" s="512">
        <v>380200</v>
      </c>
      <c r="C24" s="519" t="s">
        <v>652</v>
      </c>
      <c r="D24" s="243" t="s">
        <v>653</v>
      </c>
      <c r="E24" s="397" t="s">
        <v>196</v>
      </c>
      <c r="F24" s="166">
        <f>OAX_Calendario!F37</f>
        <v>357280</v>
      </c>
      <c r="G24" s="166">
        <f t="shared" si="0"/>
        <v>29773.333333333332</v>
      </c>
      <c r="H24" s="67">
        <f ca="1">OAX_Calendario!T37</f>
        <v>263320</v>
      </c>
      <c r="I24" s="67">
        <f>OAX_Calendario!T38</f>
        <v>200000.15999999997</v>
      </c>
      <c r="J24" s="67">
        <f t="shared" ca="1" si="1"/>
        <v>63319.840000000026</v>
      </c>
      <c r="K24" s="67">
        <f t="shared" ca="1" si="2"/>
        <v>24.046726416527427</v>
      </c>
      <c r="L24" s="67">
        <f t="shared" ca="1" si="3"/>
        <v>75.953273583472566</v>
      </c>
      <c r="M24" s="255" t="s">
        <v>375</v>
      </c>
    </row>
    <row r="25" spans="1:13" ht="45.75" customHeight="1" x14ac:dyDescent="0.25">
      <c r="A25" s="502">
        <v>215901</v>
      </c>
      <c r="B25" s="512">
        <v>380200</v>
      </c>
      <c r="C25" s="519" t="s">
        <v>633</v>
      </c>
      <c r="D25" s="243" t="s">
        <v>654</v>
      </c>
      <c r="E25" s="397" t="s">
        <v>196</v>
      </c>
      <c r="F25" s="166">
        <f>OAX_Calendario!F39</f>
        <v>658537.36</v>
      </c>
      <c r="G25" s="166">
        <f t="shared" si="0"/>
        <v>54878.113333333335</v>
      </c>
      <c r="H25" s="67">
        <f ca="1">OAX_Calendario!T39</f>
        <v>493902</v>
      </c>
      <c r="I25" s="67">
        <f>OAX_Calendario!T40</f>
        <v>425772.18000000005</v>
      </c>
      <c r="J25" s="67">
        <f t="shared" ca="1" si="1"/>
        <v>68129.819999999949</v>
      </c>
      <c r="K25" s="67">
        <f t="shared" ca="1" si="2"/>
        <v>13.794198039287137</v>
      </c>
      <c r="L25" s="67">
        <f t="shared" ca="1" si="3"/>
        <v>86.205801960712876</v>
      </c>
      <c r="M25" s="255" t="s">
        <v>573</v>
      </c>
    </row>
    <row r="26" spans="1:13" ht="69.75" customHeight="1" x14ac:dyDescent="0.25">
      <c r="A26" s="502">
        <v>212702</v>
      </c>
      <c r="B26" s="512">
        <v>200200</v>
      </c>
      <c r="C26" s="519" t="s">
        <v>633</v>
      </c>
      <c r="D26" s="243" t="s">
        <v>655</v>
      </c>
      <c r="E26" s="397" t="s">
        <v>656</v>
      </c>
      <c r="F26" s="166">
        <f>OAX_Calendario!F41</f>
        <v>0</v>
      </c>
      <c r="G26" s="166">
        <f t="shared" si="0"/>
        <v>0</v>
      </c>
      <c r="H26" s="67">
        <f ca="1">OAX_Calendario!T41</f>
        <v>0</v>
      </c>
      <c r="I26" s="67">
        <f>OAX_Calendario!T42</f>
        <v>0</v>
      </c>
      <c r="J26" s="67">
        <f t="shared" ca="1" si="1"/>
        <v>0</v>
      </c>
      <c r="K26" s="67"/>
      <c r="L26" s="67"/>
      <c r="M26" s="255" t="s">
        <v>966</v>
      </c>
    </row>
    <row r="27" spans="1:13" ht="69.75" customHeight="1" x14ac:dyDescent="0.25">
      <c r="A27" s="502">
        <v>218104</v>
      </c>
      <c r="B27" s="521">
        <v>150904</v>
      </c>
      <c r="C27" s="519"/>
      <c r="D27" s="243" t="s">
        <v>657</v>
      </c>
      <c r="E27" s="397" t="s">
        <v>658</v>
      </c>
      <c r="F27" s="166">
        <f>OAX_Calendario!F43</f>
        <v>2459200</v>
      </c>
      <c r="G27" s="166">
        <f t="shared" si="0"/>
        <v>204933.33333333334</v>
      </c>
      <c r="H27" s="67">
        <f ca="1">OAX_Calendario!T43</f>
        <v>1832800</v>
      </c>
      <c r="I27" s="67">
        <f>OAX_Calendario!T44</f>
        <v>1623999.12</v>
      </c>
      <c r="J27" s="67">
        <f t="shared" ca="1" si="1"/>
        <v>208800.87999999989</v>
      </c>
      <c r="K27" s="67">
        <f ca="1">+J27/H27*100</f>
        <v>11.392453077258832</v>
      </c>
      <c r="L27" s="67">
        <f ca="1">+I27/H27*100</f>
        <v>88.607546922741165</v>
      </c>
      <c r="M27" s="255" t="s">
        <v>976</v>
      </c>
    </row>
    <row r="28" spans="1:13" ht="69" customHeight="1" x14ac:dyDescent="0.25">
      <c r="A28" s="502">
        <v>219001</v>
      </c>
      <c r="B28" s="521" t="s">
        <v>37</v>
      </c>
      <c r="C28" s="519" t="s">
        <v>633</v>
      </c>
      <c r="D28" s="243" t="s">
        <v>659</v>
      </c>
      <c r="E28" s="397" t="s">
        <v>180</v>
      </c>
      <c r="F28" s="166">
        <f>OAX_Calendario!F45</f>
        <v>306000</v>
      </c>
      <c r="G28" s="166">
        <f t="shared" si="0"/>
        <v>25500</v>
      </c>
      <c r="H28" s="67">
        <f ca="1">OAX_Calendario!T45</f>
        <v>229500</v>
      </c>
      <c r="I28" s="67">
        <f>OAX_Calendario!T46</f>
        <v>229500</v>
      </c>
      <c r="J28" s="67">
        <f t="shared" ca="1" si="1"/>
        <v>0</v>
      </c>
      <c r="K28" s="67">
        <f ca="1">+J28/H28*100</f>
        <v>0</v>
      </c>
      <c r="L28" s="67">
        <f ca="1">+I28/H28*100</f>
        <v>100</v>
      </c>
      <c r="M28" s="255" t="s">
        <v>976</v>
      </c>
    </row>
    <row r="29" spans="1:13" ht="69.75" customHeight="1" x14ac:dyDescent="0.25">
      <c r="A29" s="508" t="s">
        <v>660</v>
      </c>
      <c r="B29" s="522">
        <v>73120</v>
      </c>
      <c r="C29" s="519"/>
      <c r="D29" s="243" t="s">
        <v>661</v>
      </c>
      <c r="E29" s="397" t="s">
        <v>255</v>
      </c>
      <c r="F29" s="166">
        <f>OAX_Calendario!F47</f>
        <v>90479.999999999985</v>
      </c>
      <c r="G29" s="166">
        <f t="shared" si="0"/>
        <v>7539.9999999999991</v>
      </c>
      <c r="H29" s="67">
        <f ca="1">OAX_Calendario!T47</f>
        <v>67859.999999999985</v>
      </c>
      <c r="I29" s="67">
        <f>OAX_Calendario!T48</f>
        <v>67859.909999999989</v>
      </c>
      <c r="J29" s="67">
        <f t="shared" ca="1" si="1"/>
        <v>8.999999999650754E-2</v>
      </c>
      <c r="K29" s="67">
        <f ca="1">+J29/H29*100</f>
        <v>1.3262599468981365E-4</v>
      </c>
      <c r="L29" s="67">
        <f ca="1">+I29/H29*100</f>
        <v>99.999867374005319</v>
      </c>
      <c r="M29" s="255" t="s">
        <v>977</v>
      </c>
    </row>
    <row r="30" spans="1:13" ht="69.75" customHeight="1" thickBot="1" x14ac:dyDescent="0.3">
      <c r="A30" s="508" t="s">
        <v>662</v>
      </c>
      <c r="B30" s="522">
        <v>73110</v>
      </c>
      <c r="C30" s="523"/>
      <c r="D30" s="187" t="s">
        <v>663</v>
      </c>
      <c r="E30" s="399" t="s">
        <v>255</v>
      </c>
      <c r="F30" s="166">
        <f>OAX_Calendario!F49</f>
        <v>126495.88</v>
      </c>
      <c r="G30" s="166">
        <f t="shared" si="0"/>
        <v>10541.323333333334</v>
      </c>
      <c r="H30" s="67">
        <f ca="1">OAX_Calendario!T49</f>
        <v>86314</v>
      </c>
      <c r="I30" s="67">
        <f>OAX_Calendario!T50</f>
        <v>72920</v>
      </c>
      <c r="J30" s="68">
        <f t="shared" ca="1" si="1"/>
        <v>13394</v>
      </c>
      <c r="K30" s="68">
        <f ca="1">+J30/H30*100</f>
        <v>15.517760734063998</v>
      </c>
      <c r="L30" s="68">
        <f ca="1">+I30/H30*100</f>
        <v>84.482239265936002</v>
      </c>
      <c r="M30" s="255" t="s">
        <v>977</v>
      </c>
    </row>
    <row r="31" spans="1:13" ht="74.25" customHeight="1" x14ac:dyDescent="0.25">
      <c r="A31" s="508" t="s">
        <v>84</v>
      </c>
      <c r="B31" s="273">
        <v>73100</v>
      </c>
      <c r="C31" s="524"/>
      <c r="D31" s="376" t="s">
        <v>664</v>
      </c>
      <c r="E31" s="520" t="s">
        <v>255</v>
      </c>
      <c r="F31" s="166">
        <f>OAX_Calendario!F51</f>
        <v>0</v>
      </c>
      <c r="G31" s="161">
        <f>F31/12</f>
        <v>0</v>
      </c>
      <c r="H31" s="67">
        <f ca="1">OAX_Calendario!T51</f>
        <v>0</v>
      </c>
      <c r="I31" s="67">
        <f>OAX_Calendario!T52</f>
        <v>0</v>
      </c>
      <c r="J31" s="125">
        <f t="shared" ca="1" si="1"/>
        <v>0</v>
      </c>
      <c r="K31" s="125"/>
      <c r="L31" s="125"/>
      <c r="M31" s="525"/>
    </row>
    <row r="32" spans="1:13" ht="15.75" thickBot="1" x14ac:dyDescent="0.3">
      <c r="A32" s="4"/>
      <c r="B32" s="40">
        <v>17</v>
      </c>
      <c r="C32" s="24">
        <f>COUNT(#REF!)</f>
        <v>0</v>
      </c>
      <c r="D32" s="7"/>
      <c r="E32" s="6"/>
      <c r="F32" s="32">
        <f>SUM(F12:F31)</f>
        <v>13923199.419999998</v>
      </c>
      <c r="G32" s="32">
        <f>SUM(G12:G31)</f>
        <v>1160266.6183333332</v>
      </c>
      <c r="H32" s="32">
        <f ca="1">SUM(H12:H31)</f>
        <v>10347693</v>
      </c>
      <c r="I32" s="32">
        <f>SUM(I12:I31)</f>
        <v>9560439.5399999991</v>
      </c>
      <c r="J32" s="32">
        <f t="shared" ca="1" si="1"/>
        <v>787253.46000000089</v>
      </c>
      <c r="K32" s="150">
        <f ca="1">+J32/H32*100</f>
        <v>7.6080094374659248</v>
      </c>
      <c r="L32" s="151">
        <f ca="1">+I32/H32*100</f>
        <v>92.391990562534076</v>
      </c>
      <c r="M32" s="5"/>
    </row>
    <row r="33" spans="6:15" ht="5.25" customHeight="1" x14ac:dyDescent="0.25">
      <c r="F33" s="2"/>
      <c r="G33" s="2"/>
      <c r="H33" s="2"/>
      <c r="I33" s="2"/>
      <c r="J33" s="2"/>
      <c r="K33" s="2"/>
      <c r="L33" s="2"/>
      <c r="M33" s="857"/>
    </row>
    <row r="34" spans="6:15" ht="31.5" customHeight="1" x14ac:dyDescent="0.25">
      <c r="F34" s="2"/>
      <c r="G34" s="2"/>
      <c r="H34" s="2"/>
      <c r="I34" s="2"/>
      <c r="J34" s="2"/>
      <c r="K34" s="2"/>
      <c r="L34" s="2"/>
      <c r="M34" s="857"/>
    </row>
    <row r="35" spans="6:15" ht="31.5" customHeight="1" x14ac:dyDescent="0.25">
      <c r="F35" s="2"/>
      <c r="G35" s="2"/>
      <c r="H35" s="9"/>
    </row>
    <row r="36" spans="6:15" x14ac:dyDescent="0.25">
      <c r="F36" s="2"/>
      <c r="G36" s="2"/>
    </row>
    <row r="37" spans="6:15" x14ac:dyDescent="0.25">
      <c r="F37" s="2"/>
      <c r="G37" s="2"/>
    </row>
    <row r="38" spans="6:15" x14ac:dyDescent="0.25">
      <c r="F38" s="2"/>
      <c r="G38" s="2"/>
    </row>
    <row r="39" spans="6:15" x14ac:dyDescent="0.25">
      <c r="F39" s="2"/>
      <c r="G39" s="2"/>
      <c r="O39" s="9"/>
    </row>
    <row r="40" spans="6:15" x14ac:dyDescent="0.25">
      <c r="F40" s="2"/>
      <c r="G40" s="2"/>
      <c r="O40" s="9"/>
    </row>
    <row r="41" spans="6:15" x14ac:dyDescent="0.25">
      <c r="F41" s="2"/>
      <c r="G41" s="2"/>
    </row>
    <row r="42" spans="6:15" x14ac:dyDescent="0.25">
      <c r="F42" s="2"/>
      <c r="G42" s="2"/>
    </row>
    <row r="43" spans="6:15" x14ac:dyDescent="0.25">
      <c r="F43" s="2"/>
      <c r="G43" s="2"/>
    </row>
    <row r="44" spans="6:15" x14ac:dyDescent="0.25">
      <c r="F44" s="2"/>
      <c r="G44" s="2"/>
    </row>
    <row r="45" spans="6:15" x14ac:dyDescent="0.25">
      <c r="F45" s="2"/>
      <c r="G45" s="2"/>
    </row>
    <row r="46" spans="6:15" x14ac:dyDescent="0.25">
      <c r="F46" s="2"/>
      <c r="G46" s="2"/>
    </row>
    <row r="47" spans="6:15" x14ac:dyDescent="0.25">
      <c r="F47" s="2"/>
      <c r="G47" s="2"/>
    </row>
    <row r="48" spans="6:15" x14ac:dyDescent="0.25">
      <c r="F48" s="2"/>
      <c r="G48" s="2"/>
    </row>
    <row r="49" spans="6:7" x14ac:dyDescent="0.25">
      <c r="F49" s="2"/>
      <c r="G49" s="2"/>
    </row>
    <row r="50" spans="6:7" x14ac:dyDescent="0.25">
      <c r="F50" s="2"/>
      <c r="G50" s="2"/>
    </row>
    <row r="51" spans="6:7" x14ac:dyDescent="0.25">
      <c r="F51" s="2"/>
      <c r="G51" s="2"/>
    </row>
    <row r="52" spans="6:7" x14ac:dyDescent="0.25">
      <c r="F52" s="2"/>
      <c r="G52" s="2"/>
    </row>
  </sheetData>
  <mergeCells count="12">
    <mergeCell ref="M10:M11"/>
    <mergeCell ref="M33:M34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48" orientation="landscape" r:id="rId1"/>
  <rowBreaks count="1" manualBreakCount="1">
    <brk id="19" max="16383" man="1"/>
  </row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showGridLines="0" view="pageBreakPreview" zoomScale="85" zoomScaleNormal="100" zoomScaleSheetLayoutView="85" zoomScalePageLayoutView="80" workbookViewId="0">
      <pane xSplit="3" ySplit="12" topLeftCell="I13" activePane="bottomRight" state="frozen"/>
      <selection pane="topRight" activeCell="D1" sqref="D1"/>
      <selection pane="bottomLeft" activeCell="A12" sqref="A12"/>
      <selection pane="bottomRight" activeCell="T6" sqref="T6"/>
    </sheetView>
  </sheetViews>
  <sheetFormatPr baseColWidth="10" defaultRowHeight="15" x14ac:dyDescent="0.25"/>
  <cols>
    <col min="1" max="1" width="9.42578125" customWidth="1"/>
    <col min="2" max="2" width="11.42578125" customWidth="1"/>
    <col min="3" max="3" width="0.28515625" customWidth="1"/>
    <col min="4" max="4" width="26" customWidth="1"/>
    <col min="5" max="5" width="27.28515625" style="1" customWidth="1"/>
    <col min="6" max="6" width="17.85546875" style="192" customWidth="1"/>
    <col min="7" max="19" width="15" style="192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140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F10" s="343"/>
      <c r="G10" s="343"/>
      <c r="H10" s="343"/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 s="9"/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995" t="s">
        <v>26</v>
      </c>
      <c r="G11" s="995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996"/>
      <c r="G12" s="995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27" customHeight="1" thickTop="1" thickBot="1" x14ac:dyDescent="0.3">
      <c r="A13" s="154">
        <v>200200</v>
      </c>
      <c r="B13" s="783">
        <v>212418</v>
      </c>
      <c r="C13" s="437" t="s">
        <v>625</v>
      </c>
      <c r="D13" s="968" t="s">
        <v>626</v>
      </c>
      <c r="E13" s="963" t="s">
        <v>627</v>
      </c>
      <c r="F13" s="918">
        <f>SUM(H13:S13)</f>
        <v>125280</v>
      </c>
      <c r="G13" s="160" t="s">
        <v>628</v>
      </c>
      <c r="H13" s="166"/>
      <c r="I13" s="166">
        <f t="shared" ref="I13:S13" si="0">VLOOKUP($A13&amp;$B13&amp;I$10,Base,8,FALSE)</f>
        <v>0</v>
      </c>
      <c r="J13" s="166">
        <f t="shared" si="0"/>
        <v>19719.919999999998</v>
      </c>
      <c r="K13" s="166">
        <f t="shared" si="0"/>
        <v>9859.9599999999991</v>
      </c>
      <c r="L13" s="166">
        <f t="shared" si="0"/>
        <v>9859.9599999999991</v>
      </c>
      <c r="M13" s="166">
        <f t="shared" si="0"/>
        <v>9859.9599999999991</v>
      </c>
      <c r="N13" s="166">
        <f t="shared" si="0"/>
        <v>9859.9599999999991</v>
      </c>
      <c r="O13" s="166">
        <f t="shared" si="0"/>
        <v>9859.9599999999991</v>
      </c>
      <c r="P13" s="166">
        <f t="shared" si="0"/>
        <v>9859.9599999999991</v>
      </c>
      <c r="Q13" s="166">
        <f t="shared" si="0"/>
        <v>11600.32</v>
      </c>
      <c r="R13" s="166">
        <f t="shared" si="0"/>
        <v>11600</v>
      </c>
      <c r="S13" s="166">
        <f t="shared" si="0"/>
        <v>23200</v>
      </c>
      <c r="T13" s="329">
        <f ca="1">SUM($H13:(OFFSET($H13,0,AVANCE060826!$T$2)))</f>
        <v>90480</v>
      </c>
      <c r="U13" s="903"/>
    </row>
    <row r="14" spans="1:21" ht="27" customHeight="1" thickTop="1" x14ac:dyDescent="0.25">
      <c r="A14" s="154">
        <v>200200</v>
      </c>
      <c r="B14" s="783">
        <v>212418</v>
      </c>
      <c r="C14" s="437"/>
      <c r="D14" s="969"/>
      <c r="E14" s="963"/>
      <c r="F14" s="918"/>
      <c r="G14" s="161" t="s">
        <v>629</v>
      </c>
      <c r="H14" s="166"/>
      <c r="I14" s="166">
        <f t="shared" ref="I14:S14" si="1">VLOOKUP($A14&amp;$B14&amp;I$10,Base,9,FALSE)</f>
        <v>0</v>
      </c>
      <c r="J14" s="166">
        <f t="shared" si="1"/>
        <v>19719.919999999998</v>
      </c>
      <c r="K14" s="166">
        <f t="shared" si="1"/>
        <v>9859.9599999999991</v>
      </c>
      <c r="L14" s="166">
        <f t="shared" si="1"/>
        <v>9859.9599999999991</v>
      </c>
      <c r="M14" s="166">
        <f t="shared" si="1"/>
        <v>9859.9599999999991</v>
      </c>
      <c r="N14" s="166">
        <f t="shared" si="1"/>
        <v>9859.9599999999991</v>
      </c>
      <c r="O14" s="166">
        <f t="shared" si="1"/>
        <v>9859.9599999999991</v>
      </c>
      <c r="P14" s="166">
        <f t="shared" si="1"/>
        <v>9859.9599999999991</v>
      </c>
      <c r="Q14" s="166">
        <f t="shared" si="1"/>
        <v>0</v>
      </c>
      <c r="R14" s="166">
        <f t="shared" si="1"/>
        <v>0</v>
      </c>
      <c r="S14" s="166">
        <f t="shared" si="1"/>
        <v>0</v>
      </c>
      <c r="T14" s="185">
        <f>SUM(H14:S14)</f>
        <v>78879.679999999993</v>
      </c>
      <c r="U14" s="903"/>
    </row>
    <row r="15" spans="1:21" ht="27" customHeight="1" x14ac:dyDescent="0.25">
      <c r="A15" s="159">
        <v>200200</v>
      </c>
      <c r="B15" s="784">
        <v>212404</v>
      </c>
      <c r="C15" s="437" t="s">
        <v>630</v>
      </c>
      <c r="D15" s="968" t="s">
        <v>631</v>
      </c>
      <c r="E15" s="963" t="s">
        <v>632</v>
      </c>
      <c r="F15" s="918">
        <f>SUM(H15:S15)</f>
        <v>118320</v>
      </c>
      <c r="G15" s="160" t="s">
        <v>628</v>
      </c>
      <c r="H15" s="166"/>
      <c r="I15" s="166">
        <f t="shared" ref="I15:S15" si="2">VLOOKUP($A15&amp;$B15&amp;I$10,Base,8,FALSE)</f>
        <v>0</v>
      </c>
      <c r="J15" s="166">
        <f t="shared" si="2"/>
        <v>19720</v>
      </c>
      <c r="K15" s="166">
        <f t="shared" si="2"/>
        <v>9860</v>
      </c>
      <c r="L15" s="166">
        <f t="shared" si="2"/>
        <v>9860</v>
      </c>
      <c r="M15" s="166">
        <f t="shared" si="2"/>
        <v>9860</v>
      </c>
      <c r="N15" s="166">
        <f t="shared" si="2"/>
        <v>9860</v>
      </c>
      <c r="O15" s="166">
        <f t="shared" si="2"/>
        <v>9860</v>
      </c>
      <c r="P15" s="166">
        <f t="shared" si="2"/>
        <v>9860</v>
      </c>
      <c r="Q15" s="166">
        <f t="shared" si="2"/>
        <v>9860</v>
      </c>
      <c r="R15" s="166">
        <f t="shared" si="2"/>
        <v>9860</v>
      </c>
      <c r="S15" s="166">
        <f t="shared" si="2"/>
        <v>19720</v>
      </c>
      <c r="T15" s="329">
        <f ca="1">SUM($H15:(OFFSET($H15,0,AVANCE060826!$T$2)))</f>
        <v>88740</v>
      </c>
      <c r="U15" s="903"/>
    </row>
    <row r="16" spans="1:21" ht="27" customHeight="1" x14ac:dyDescent="0.25">
      <c r="A16" s="159">
        <v>200200</v>
      </c>
      <c r="B16" s="784">
        <v>212404</v>
      </c>
      <c r="C16" s="437"/>
      <c r="D16" s="969"/>
      <c r="E16" s="963"/>
      <c r="F16" s="918"/>
      <c r="G16" s="161" t="s">
        <v>629</v>
      </c>
      <c r="H16" s="166"/>
      <c r="I16" s="166">
        <f t="shared" ref="I16:S16" si="3">VLOOKUP($A16&amp;$B16&amp;I$10,Base,9,FALSE)</f>
        <v>0</v>
      </c>
      <c r="J16" s="166">
        <f t="shared" si="3"/>
        <v>19720</v>
      </c>
      <c r="K16" s="166">
        <f t="shared" si="3"/>
        <v>9860</v>
      </c>
      <c r="L16" s="166">
        <f t="shared" si="3"/>
        <v>9860</v>
      </c>
      <c r="M16" s="166">
        <f t="shared" si="3"/>
        <v>9860</v>
      </c>
      <c r="N16" s="166">
        <f t="shared" si="3"/>
        <v>9860</v>
      </c>
      <c r="O16" s="166">
        <f t="shared" si="3"/>
        <v>9860</v>
      </c>
      <c r="P16" s="166">
        <f t="shared" si="3"/>
        <v>9860</v>
      </c>
      <c r="Q16" s="166">
        <f t="shared" si="3"/>
        <v>0</v>
      </c>
      <c r="R16" s="166">
        <f t="shared" si="3"/>
        <v>0</v>
      </c>
      <c r="S16" s="166">
        <f t="shared" si="3"/>
        <v>0</v>
      </c>
      <c r="T16" s="185">
        <f>SUM(H16:S16)</f>
        <v>78880</v>
      </c>
      <c r="U16" s="903"/>
    </row>
    <row r="17" spans="1:21" ht="27" customHeight="1" x14ac:dyDescent="0.25">
      <c r="A17" s="159">
        <v>320200</v>
      </c>
      <c r="B17" s="784">
        <v>216301</v>
      </c>
      <c r="C17" s="437" t="s">
        <v>633</v>
      </c>
      <c r="D17" s="968" t="s">
        <v>634</v>
      </c>
      <c r="E17" s="963" t="s">
        <v>635</v>
      </c>
      <c r="F17" s="918">
        <f>SUM(H17:S17)</f>
        <v>1809600</v>
      </c>
      <c r="G17" s="160" t="s">
        <v>628</v>
      </c>
      <c r="H17" s="166"/>
      <c r="I17" s="166">
        <f t="shared" ref="I17:S17" si="4">VLOOKUP($A17&amp;$B17&amp;I$10,Base,8,FALSE)</f>
        <v>0</v>
      </c>
      <c r="J17" s="166">
        <f t="shared" si="4"/>
        <v>0</v>
      </c>
      <c r="K17" s="166">
        <f t="shared" si="4"/>
        <v>301600</v>
      </c>
      <c r="L17" s="166">
        <f t="shared" si="4"/>
        <v>164640.82</v>
      </c>
      <c r="M17" s="166">
        <f t="shared" si="4"/>
        <v>136959.18</v>
      </c>
      <c r="N17" s="166">
        <f t="shared" si="4"/>
        <v>301599.99</v>
      </c>
      <c r="O17" s="166">
        <f t="shared" si="4"/>
        <v>150800</v>
      </c>
      <c r="P17" s="166">
        <f t="shared" si="4"/>
        <v>0</v>
      </c>
      <c r="Q17" s="166">
        <f t="shared" si="4"/>
        <v>301600.01</v>
      </c>
      <c r="R17" s="166">
        <f t="shared" si="4"/>
        <v>150800</v>
      </c>
      <c r="S17" s="166">
        <f t="shared" si="4"/>
        <v>301600</v>
      </c>
      <c r="T17" s="329">
        <f ca="1">SUM($H17:(OFFSET($H17,0,AVANCE060826!$T$2)))</f>
        <v>1357200</v>
      </c>
      <c r="U17" s="903"/>
    </row>
    <row r="18" spans="1:21" ht="40.5" customHeight="1" x14ac:dyDescent="0.25">
      <c r="A18" s="159">
        <v>320200</v>
      </c>
      <c r="B18" s="784">
        <v>216301</v>
      </c>
      <c r="C18" s="437"/>
      <c r="D18" s="969"/>
      <c r="E18" s="963"/>
      <c r="F18" s="918"/>
      <c r="G18" s="161" t="s">
        <v>629</v>
      </c>
      <c r="H18" s="166"/>
      <c r="I18" s="166">
        <f t="shared" ref="I18:S18" si="5">VLOOKUP($A18&amp;$B18&amp;I$10,Base,9,FALSE)</f>
        <v>0</v>
      </c>
      <c r="J18" s="166">
        <f t="shared" si="5"/>
        <v>0</v>
      </c>
      <c r="K18" s="166">
        <f t="shared" si="5"/>
        <v>301600</v>
      </c>
      <c r="L18" s="166">
        <f t="shared" si="5"/>
        <v>164640.82</v>
      </c>
      <c r="M18" s="166">
        <f t="shared" si="5"/>
        <v>136959.18</v>
      </c>
      <c r="N18" s="166">
        <f t="shared" si="5"/>
        <v>301599.99</v>
      </c>
      <c r="O18" s="166">
        <f t="shared" si="5"/>
        <v>150800</v>
      </c>
      <c r="P18" s="166">
        <f t="shared" si="5"/>
        <v>0</v>
      </c>
      <c r="Q18" s="166">
        <f t="shared" si="5"/>
        <v>301600</v>
      </c>
      <c r="R18" s="166">
        <f t="shared" si="5"/>
        <v>0</v>
      </c>
      <c r="S18" s="166">
        <f t="shared" si="5"/>
        <v>0</v>
      </c>
      <c r="T18" s="185">
        <f>SUM(H18:S18)</f>
        <v>1357199.99</v>
      </c>
      <c r="U18" s="903"/>
    </row>
    <row r="19" spans="1:21" ht="40.5" customHeight="1" x14ac:dyDescent="0.25">
      <c r="A19" s="159">
        <v>310203</v>
      </c>
      <c r="B19" s="784">
        <v>215301</v>
      </c>
      <c r="C19" s="437" t="s">
        <v>633</v>
      </c>
      <c r="D19" s="968" t="s">
        <v>637</v>
      </c>
      <c r="E19" s="963" t="s">
        <v>578</v>
      </c>
      <c r="F19" s="918">
        <f>SUM(H19:S19)</f>
        <v>1074962.97</v>
      </c>
      <c r="G19" s="160" t="s">
        <v>628</v>
      </c>
      <c r="H19" s="166"/>
      <c r="I19" s="166">
        <f t="shared" ref="I19:S19" si="6">VLOOKUP($A19&amp;$B19&amp;I$10,Base,8,FALSE)</f>
        <v>0</v>
      </c>
      <c r="J19" s="166">
        <f t="shared" si="6"/>
        <v>175646.74</v>
      </c>
      <c r="K19" s="166">
        <f t="shared" si="6"/>
        <v>87823.37</v>
      </c>
      <c r="L19" s="166">
        <f t="shared" si="6"/>
        <v>87823.37</v>
      </c>
      <c r="M19" s="166">
        <f t="shared" si="6"/>
        <v>87823.37</v>
      </c>
      <c r="N19" s="166">
        <f t="shared" si="6"/>
        <v>87823.37</v>
      </c>
      <c r="O19" s="166">
        <f t="shared" si="6"/>
        <v>87823.37</v>
      </c>
      <c r="P19" s="166">
        <f t="shared" si="6"/>
        <v>87823.37</v>
      </c>
      <c r="Q19" s="166">
        <f t="shared" si="6"/>
        <v>93098.04</v>
      </c>
      <c r="R19" s="166">
        <f t="shared" si="6"/>
        <v>93093</v>
      </c>
      <c r="S19" s="166">
        <f t="shared" si="6"/>
        <v>186184.97</v>
      </c>
      <c r="T19" s="329">
        <f ca="1">SUM($H19:(OFFSET($H19,0,AVANCE060826!$T$2)))</f>
        <v>795685</v>
      </c>
      <c r="U19" s="235"/>
    </row>
    <row r="20" spans="1:21" ht="40.5" customHeight="1" x14ac:dyDescent="0.25">
      <c r="A20" s="159">
        <v>310203</v>
      </c>
      <c r="B20" s="784">
        <v>215301</v>
      </c>
      <c r="C20" s="437"/>
      <c r="D20" s="969"/>
      <c r="E20" s="963"/>
      <c r="F20" s="918"/>
      <c r="G20" s="161" t="s">
        <v>629</v>
      </c>
      <c r="H20" s="166"/>
      <c r="I20" s="166">
        <f t="shared" ref="I20:S20" si="7">VLOOKUP($A20&amp;$B20&amp;I$10,Base,9,FALSE)</f>
        <v>0</v>
      </c>
      <c r="J20" s="166">
        <f t="shared" si="7"/>
        <v>175646.74</v>
      </c>
      <c r="K20" s="166">
        <f t="shared" si="7"/>
        <v>87823.37</v>
      </c>
      <c r="L20" s="166">
        <f t="shared" si="7"/>
        <v>87823.37</v>
      </c>
      <c r="M20" s="166">
        <f t="shared" si="7"/>
        <v>87823.37</v>
      </c>
      <c r="N20" s="166">
        <f t="shared" si="7"/>
        <v>87823.37</v>
      </c>
      <c r="O20" s="166">
        <f t="shared" si="7"/>
        <v>87823.37</v>
      </c>
      <c r="P20" s="166">
        <f t="shared" si="7"/>
        <v>87823.37</v>
      </c>
      <c r="Q20" s="166">
        <f t="shared" si="7"/>
        <v>0</v>
      </c>
      <c r="R20" s="166">
        <f t="shared" si="7"/>
        <v>0</v>
      </c>
      <c r="S20" s="166">
        <f t="shared" si="7"/>
        <v>0</v>
      </c>
      <c r="T20" s="185">
        <f>SUM(H20:S20)</f>
        <v>702586.96</v>
      </c>
      <c r="U20" s="235"/>
    </row>
    <row r="21" spans="1:21" ht="27" customHeight="1" x14ac:dyDescent="0.25">
      <c r="A21" s="159">
        <v>100100</v>
      </c>
      <c r="B21" s="784">
        <v>219001</v>
      </c>
      <c r="C21" s="437" t="s">
        <v>633</v>
      </c>
      <c r="D21" s="968" t="s">
        <v>638</v>
      </c>
      <c r="E21" s="963" t="s">
        <v>364</v>
      </c>
      <c r="F21" s="918">
        <f>SUM(H21:S21)</f>
        <v>2756588</v>
      </c>
      <c r="G21" s="160" t="s">
        <v>628</v>
      </c>
      <c r="H21" s="166"/>
      <c r="I21" s="166">
        <f t="shared" ref="I21:S21" si="8">VLOOKUP($A21&amp;$B21&amp;I$10,Base,8,FALSE)</f>
        <v>0</v>
      </c>
      <c r="J21" s="166">
        <f t="shared" si="8"/>
        <v>440800</v>
      </c>
      <c r="K21" s="166">
        <f t="shared" si="8"/>
        <v>220400</v>
      </c>
      <c r="L21" s="166">
        <f t="shared" si="8"/>
        <v>220400</v>
      </c>
      <c r="M21" s="166">
        <f t="shared" si="8"/>
        <v>220400</v>
      </c>
      <c r="N21" s="166">
        <f t="shared" si="8"/>
        <v>220400</v>
      </c>
      <c r="O21" s="166">
        <f t="shared" si="8"/>
        <v>220400</v>
      </c>
      <c r="P21" s="166">
        <f t="shared" si="8"/>
        <v>220400</v>
      </c>
      <c r="Q21" s="166">
        <f t="shared" si="8"/>
        <v>248347</v>
      </c>
      <c r="R21" s="166">
        <f t="shared" si="8"/>
        <v>248347</v>
      </c>
      <c r="S21" s="166">
        <f t="shared" si="8"/>
        <v>496694</v>
      </c>
      <c r="T21" s="329">
        <f ca="1">SUM($H21:(OFFSET($H21,0,AVANCE060826!$T$2)))</f>
        <v>2011547</v>
      </c>
      <c r="U21" s="903"/>
    </row>
    <row r="22" spans="1:21" ht="27" customHeight="1" x14ac:dyDescent="0.25">
      <c r="A22" s="159">
        <v>100100</v>
      </c>
      <c r="B22" s="784">
        <v>219001</v>
      </c>
      <c r="C22" s="437"/>
      <c r="D22" s="969"/>
      <c r="E22" s="963"/>
      <c r="F22" s="918"/>
      <c r="G22" s="161" t="s">
        <v>629</v>
      </c>
      <c r="H22" s="166"/>
      <c r="I22" s="166">
        <f t="shared" ref="I22:S22" si="9">VLOOKUP($A22&amp;$B22&amp;I$10,Base,9,FALSE)</f>
        <v>0</v>
      </c>
      <c r="J22" s="166">
        <f t="shared" si="9"/>
        <v>440800</v>
      </c>
      <c r="K22" s="166">
        <f t="shared" si="9"/>
        <v>220400</v>
      </c>
      <c r="L22" s="166">
        <f t="shared" si="9"/>
        <v>220400</v>
      </c>
      <c r="M22" s="166">
        <f t="shared" si="9"/>
        <v>220400</v>
      </c>
      <c r="N22" s="166">
        <f t="shared" si="9"/>
        <v>220400</v>
      </c>
      <c r="O22" s="166">
        <f t="shared" si="9"/>
        <v>220400</v>
      </c>
      <c r="P22" s="166">
        <f t="shared" si="9"/>
        <v>220400</v>
      </c>
      <c r="Q22" s="166">
        <f t="shared" si="9"/>
        <v>0</v>
      </c>
      <c r="R22" s="166">
        <f t="shared" si="9"/>
        <v>0</v>
      </c>
      <c r="S22" s="166">
        <f t="shared" si="9"/>
        <v>0</v>
      </c>
      <c r="T22" s="185">
        <f>SUM(H22:S22)</f>
        <v>1763200</v>
      </c>
      <c r="U22" s="903"/>
    </row>
    <row r="23" spans="1:21" ht="27" customHeight="1" x14ac:dyDescent="0.25">
      <c r="A23" s="159">
        <v>900110</v>
      </c>
      <c r="B23" s="784">
        <v>219101</v>
      </c>
      <c r="C23" s="437" t="s">
        <v>633</v>
      </c>
      <c r="D23" s="968" t="s">
        <v>639</v>
      </c>
      <c r="E23" s="963" t="s">
        <v>640</v>
      </c>
      <c r="F23" s="918">
        <f>SUM(H23:S23)</f>
        <v>2023259.97</v>
      </c>
      <c r="G23" s="160" t="s">
        <v>628</v>
      </c>
      <c r="H23" s="166"/>
      <c r="I23" s="166">
        <f t="shared" ref="I23:S23" si="10">VLOOKUP($A23&amp;$B23&amp;I$10,Base,8,FALSE)</f>
        <v>0</v>
      </c>
      <c r="J23" s="166">
        <f t="shared" si="10"/>
        <v>337208.74</v>
      </c>
      <c r="K23" s="166">
        <f t="shared" si="10"/>
        <v>168604.37</v>
      </c>
      <c r="L23" s="166">
        <f t="shared" si="10"/>
        <v>168604.37</v>
      </c>
      <c r="M23" s="166">
        <f t="shared" si="10"/>
        <v>168604.37</v>
      </c>
      <c r="N23" s="166">
        <f t="shared" si="10"/>
        <v>168604.37</v>
      </c>
      <c r="O23" s="166">
        <f t="shared" si="10"/>
        <v>168604.37</v>
      </c>
      <c r="P23" s="166">
        <f t="shared" si="10"/>
        <v>168604.37</v>
      </c>
      <c r="Q23" s="166">
        <f t="shared" si="10"/>
        <v>168610.04</v>
      </c>
      <c r="R23" s="166">
        <f t="shared" si="10"/>
        <v>168605</v>
      </c>
      <c r="S23" s="166">
        <f t="shared" si="10"/>
        <v>337209.97</v>
      </c>
      <c r="T23" s="329">
        <f ca="1">SUM($H23:(OFFSET($H23,0,AVANCE060826!$T$2)))</f>
        <v>1517445</v>
      </c>
      <c r="U23" s="903"/>
    </row>
    <row r="24" spans="1:21" ht="27" customHeight="1" x14ac:dyDescent="0.25">
      <c r="A24" s="159">
        <v>900110</v>
      </c>
      <c r="B24" s="784">
        <v>219101</v>
      </c>
      <c r="C24" s="437"/>
      <c r="D24" s="969"/>
      <c r="E24" s="963"/>
      <c r="F24" s="918"/>
      <c r="G24" s="161" t="s">
        <v>629</v>
      </c>
      <c r="H24" s="166"/>
      <c r="I24" s="166">
        <f t="shared" ref="I24:S24" si="11">VLOOKUP($A24&amp;$B24&amp;I$10,Base,9,FALSE)</f>
        <v>0</v>
      </c>
      <c r="J24" s="166">
        <f t="shared" si="11"/>
        <v>337208.74</v>
      </c>
      <c r="K24" s="166">
        <f t="shared" si="11"/>
        <v>168604.37</v>
      </c>
      <c r="L24" s="166">
        <f t="shared" si="11"/>
        <v>168604.37</v>
      </c>
      <c r="M24" s="166">
        <f t="shared" si="11"/>
        <v>168604.37</v>
      </c>
      <c r="N24" s="166">
        <f t="shared" si="11"/>
        <v>168604.37</v>
      </c>
      <c r="O24" s="166">
        <f t="shared" si="11"/>
        <v>168604.37</v>
      </c>
      <c r="P24" s="166">
        <f t="shared" si="11"/>
        <v>168604.37</v>
      </c>
      <c r="Q24" s="166">
        <f t="shared" si="11"/>
        <v>168604.37</v>
      </c>
      <c r="R24" s="166">
        <f t="shared" si="11"/>
        <v>0</v>
      </c>
      <c r="S24" s="166">
        <f t="shared" si="11"/>
        <v>0</v>
      </c>
      <c r="T24" s="185">
        <f>SUM(H24:S24)</f>
        <v>1517439.33</v>
      </c>
      <c r="U24" s="903"/>
    </row>
    <row r="25" spans="1:21" ht="27" customHeight="1" x14ac:dyDescent="0.25">
      <c r="A25" s="159">
        <v>900110</v>
      </c>
      <c r="B25" s="784">
        <v>219103</v>
      </c>
      <c r="C25" s="437" t="s">
        <v>641</v>
      </c>
      <c r="D25" s="968" t="s">
        <v>642</v>
      </c>
      <c r="E25" s="963" t="s">
        <v>190</v>
      </c>
      <c r="F25" s="918">
        <f>SUM(H25:S25)</f>
        <v>276007.8</v>
      </c>
      <c r="G25" s="160" t="s">
        <v>628</v>
      </c>
      <c r="H25" s="166"/>
      <c r="I25" s="166">
        <f t="shared" ref="I25:S25" si="12">VLOOKUP($A25&amp;$B25&amp;I$10,Base,8,FALSE)</f>
        <v>0</v>
      </c>
      <c r="J25" s="166">
        <f t="shared" si="12"/>
        <v>46000.78</v>
      </c>
      <c r="K25" s="166">
        <f t="shared" si="12"/>
        <v>23000.39</v>
      </c>
      <c r="L25" s="166">
        <f t="shared" si="12"/>
        <v>23000.39</v>
      </c>
      <c r="M25" s="166">
        <f t="shared" si="12"/>
        <v>23000.39</v>
      </c>
      <c r="N25" s="166">
        <f t="shared" si="12"/>
        <v>23000.39</v>
      </c>
      <c r="O25" s="166">
        <f t="shared" si="12"/>
        <v>23000.39</v>
      </c>
      <c r="P25" s="166">
        <f t="shared" si="12"/>
        <v>23000.39</v>
      </c>
      <c r="Q25" s="166">
        <f t="shared" si="12"/>
        <v>23005.88</v>
      </c>
      <c r="R25" s="166">
        <f t="shared" si="12"/>
        <v>23001</v>
      </c>
      <c r="S25" s="166">
        <f t="shared" si="12"/>
        <v>45997.8</v>
      </c>
      <c r="T25" s="329">
        <f ca="1">SUM($H25:(OFFSET($H25,0,AVANCE060826!$T$2)))</f>
        <v>207009</v>
      </c>
      <c r="U25" s="903"/>
    </row>
    <row r="26" spans="1:21" ht="27" customHeight="1" x14ac:dyDescent="0.25">
      <c r="A26" s="159">
        <v>900110</v>
      </c>
      <c r="B26" s="784">
        <v>219103</v>
      </c>
      <c r="C26" s="437"/>
      <c r="D26" s="969"/>
      <c r="E26" s="963"/>
      <c r="F26" s="918"/>
      <c r="G26" s="161" t="s">
        <v>629</v>
      </c>
      <c r="H26" s="166"/>
      <c r="I26" s="166">
        <f t="shared" ref="I26:S26" si="13">VLOOKUP($A26&amp;$B26&amp;I$10,Base,9,FALSE)</f>
        <v>0</v>
      </c>
      <c r="J26" s="166">
        <f t="shared" si="13"/>
        <v>46000.78</v>
      </c>
      <c r="K26" s="166">
        <f t="shared" si="13"/>
        <v>23000.39</v>
      </c>
      <c r="L26" s="166">
        <f t="shared" si="13"/>
        <v>23000.39</v>
      </c>
      <c r="M26" s="166">
        <f t="shared" si="13"/>
        <v>23000.39</v>
      </c>
      <c r="N26" s="166">
        <f t="shared" si="13"/>
        <v>23000.39</v>
      </c>
      <c r="O26" s="166">
        <f t="shared" si="13"/>
        <v>23000.39</v>
      </c>
      <c r="P26" s="166">
        <f t="shared" si="13"/>
        <v>23000.39</v>
      </c>
      <c r="Q26" s="166">
        <f t="shared" si="13"/>
        <v>23000.39</v>
      </c>
      <c r="R26" s="166">
        <f t="shared" si="13"/>
        <v>0</v>
      </c>
      <c r="S26" s="166">
        <f t="shared" si="13"/>
        <v>0</v>
      </c>
      <c r="T26" s="185">
        <f>SUM(H26:S26)</f>
        <v>207003.51</v>
      </c>
      <c r="U26" s="903"/>
    </row>
    <row r="27" spans="1:21" ht="27" customHeight="1" x14ac:dyDescent="0.25">
      <c r="A27" s="345">
        <v>200100</v>
      </c>
      <c r="B27" s="784">
        <v>219001</v>
      </c>
      <c r="C27" s="465" t="s">
        <v>633</v>
      </c>
      <c r="D27" s="970" t="s">
        <v>643</v>
      </c>
      <c r="E27" s="963" t="s">
        <v>644</v>
      </c>
      <c r="F27" s="918">
        <f>SUM(H27:S27)</f>
        <v>1057920</v>
      </c>
      <c r="G27" s="160" t="s">
        <v>628</v>
      </c>
      <c r="H27" s="166"/>
      <c r="I27" s="166">
        <f t="shared" ref="I27:S27" si="14">VLOOKUP($A27&amp;$B27&amp;I$10,Base,8,FALSE)</f>
        <v>0</v>
      </c>
      <c r="J27" s="166">
        <f t="shared" si="14"/>
        <v>176320</v>
      </c>
      <c r="K27" s="166">
        <f t="shared" si="14"/>
        <v>88160</v>
      </c>
      <c r="L27" s="166">
        <f t="shared" si="14"/>
        <v>88160</v>
      </c>
      <c r="M27" s="166">
        <f t="shared" si="14"/>
        <v>88160</v>
      </c>
      <c r="N27" s="166">
        <f t="shared" si="14"/>
        <v>88160</v>
      </c>
      <c r="O27" s="166">
        <f t="shared" si="14"/>
        <v>88160</v>
      </c>
      <c r="P27" s="166">
        <f t="shared" si="14"/>
        <v>88160</v>
      </c>
      <c r="Q27" s="166">
        <f t="shared" si="14"/>
        <v>88160</v>
      </c>
      <c r="R27" s="166">
        <f t="shared" si="14"/>
        <v>88160</v>
      </c>
      <c r="S27" s="166">
        <f t="shared" si="14"/>
        <v>176320</v>
      </c>
      <c r="T27" s="329">
        <f ca="1">SUM($H27:(OFFSET($H27,0,AVANCE060826!$T$2)))</f>
        <v>793440</v>
      </c>
      <c r="U27" s="903"/>
    </row>
    <row r="28" spans="1:21" ht="27" customHeight="1" x14ac:dyDescent="0.25">
      <c r="A28" s="345">
        <v>200100</v>
      </c>
      <c r="B28" s="784">
        <v>219001</v>
      </c>
      <c r="C28" s="465"/>
      <c r="D28" s="971"/>
      <c r="E28" s="963"/>
      <c r="F28" s="918"/>
      <c r="G28" s="161" t="s">
        <v>629</v>
      </c>
      <c r="H28" s="166"/>
      <c r="I28" s="166">
        <f t="shared" ref="I28:S28" si="15">VLOOKUP($A28&amp;$B28&amp;I$10,Base,9,FALSE)</f>
        <v>0</v>
      </c>
      <c r="J28" s="166">
        <f t="shared" si="15"/>
        <v>176320</v>
      </c>
      <c r="K28" s="166">
        <f t="shared" si="15"/>
        <v>88160</v>
      </c>
      <c r="L28" s="166">
        <f t="shared" si="15"/>
        <v>88160</v>
      </c>
      <c r="M28" s="166">
        <f t="shared" si="15"/>
        <v>88160</v>
      </c>
      <c r="N28" s="166">
        <f t="shared" si="15"/>
        <v>88160</v>
      </c>
      <c r="O28" s="166">
        <f t="shared" si="15"/>
        <v>88160</v>
      </c>
      <c r="P28" s="166">
        <f t="shared" si="15"/>
        <v>88160</v>
      </c>
      <c r="Q28" s="166">
        <f t="shared" si="15"/>
        <v>88160</v>
      </c>
      <c r="R28" s="166">
        <f t="shared" si="15"/>
        <v>0</v>
      </c>
      <c r="S28" s="166">
        <f t="shared" si="15"/>
        <v>0</v>
      </c>
      <c r="T28" s="185">
        <f>SUM(H28:S28)</f>
        <v>793440</v>
      </c>
      <c r="U28" s="903"/>
    </row>
    <row r="29" spans="1:21" ht="27" customHeight="1" x14ac:dyDescent="0.25">
      <c r="A29" s="159">
        <v>380200</v>
      </c>
      <c r="B29" s="784">
        <v>215903</v>
      </c>
      <c r="C29" s="268" t="s">
        <v>641</v>
      </c>
      <c r="D29" s="968" t="s">
        <v>645</v>
      </c>
      <c r="E29" s="963" t="s">
        <v>196</v>
      </c>
      <c r="F29" s="918">
        <f>SUM(H29:S29)</f>
        <v>212795.44</v>
      </c>
      <c r="G29" s="160" t="s">
        <v>628</v>
      </c>
      <c r="H29" s="166"/>
      <c r="I29" s="166">
        <f t="shared" ref="I29:S29" si="16">VLOOKUP($A29&amp;$B29&amp;I$10,Base,8,FALSE)</f>
        <v>0</v>
      </c>
      <c r="J29" s="166">
        <f t="shared" si="16"/>
        <v>30572.62</v>
      </c>
      <c r="K29" s="166">
        <f t="shared" si="16"/>
        <v>15286.31</v>
      </c>
      <c r="L29" s="166">
        <f t="shared" si="16"/>
        <v>15286.31</v>
      </c>
      <c r="M29" s="166">
        <f t="shared" si="16"/>
        <v>15286.31</v>
      </c>
      <c r="N29" s="166">
        <f t="shared" si="16"/>
        <v>15286.31</v>
      </c>
      <c r="O29" s="166">
        <f t="shared" si="16"/>
        <v>15286.31</v>
      </c>
      <c r="P29" s="166">
        <f t="shared" si="16"/>
        <v>15286.31</v>
      </c>
      <c r="Q29" s="166">
        <f t="shared" si="16"/>
        <v>37306.519999999997</v>
      </c>
      <c r="R29" s="166">
        <f t="shared" si="16"/>
        <v>17733</v>
      </c>
      <c r="S29" s="166">
        <f t="shared" si="16"/>
        <v>35465.440000000002</v>
      </c>
      <c r="T29" s="329">
        <f ca="1">SUM($H29:(OFFSET($H29,0,AVANCE060826!$T$2)))</f>
        <v>159597</v>
      </c>
      <c r="U29" s="903"/>
    </row>
    <row r="30" spans="1:21" ht="27" customHeight="1" x14ac:dyDescent="0.25">
      <c r="A30" s="159">
        <v>380200</v>
      </c>
      <c r="B30" s="784">
        <v>215903</v>
      </c>
      <c r="C30" s="268"/>
      <c r="D30" s="969"/>
      <c r="E30" s="963"/>
      <c r="F30" s="918"/>
      <c r="G30" s="161" t="s">
        <v>629</v>
      </c>
      <c r="H30" s="166"/>
      <c r="I30" s="166">
        <f t="shared" ref="I30:S30" si="17">VLOOKUP($A30&amp;$B30&amp;I$10,Base,9,FALSE)</f>
        <v>0</v>
      </c>
      <c r="J30" s="166">
        <f t="shared" si="17"/>
        <v>30572.62</v>
      </c>
      <c r="K30" s="166">
        <f t="shared" si="17"/>
        <v>15286.31</v>
      </c>
      <c r="L30" s="166">
        <f t="shared" si="17"/>
        <v>15286.31</v>
      </c>
      <c r="M30" s="166">
        <f t="shared" si="17"/>
        <v>15286.31</v>
      </c>
      <c r="N30" s="166">
        <f t="shared" si="17"/>
        <v>15286.31</v>
      </c>
      <c r="O30" s="166">
        <f t="shared" si="17"/>
        <v>15286.31</v>
      </c>
      <c r="P30" s="166">
        <f t="shared" si="17"/>
        <v>15286.31</v>
      </c>
      <c r="Q30" s="166">
        <f t="shared" si="17"/>
        <v>15286.31</v>
      </c>
      <c r="R30" s="166">
        <f t="shared" si="17"/>
        <v>0</v>
      </c>
      <c r="S30" s="166">
        <f t="shared" si="17"/>
        <v>0</v>
      </c>
      <c r="T30" s="185">
        <f>SUM(H30:S30)</f>
        <v>137576.79</v>
      </c>
      <c r="U30" s="903"/>
    </row>
    <row r="31" spans="1:21" ht="27" customHeight="1" x14ac:dyDescent="0.25">
      <c r="A31" s="159">
        <v>380200</v>
      </c>
      <c r="B31" s="784">
        <v>215904</v>
      </c>
      <c r="C31" s="344" t="s">
        <v>646</v>
      </c>
      <c r="D31" s="873" t="s">
        <v>647</v>
      </c>
      <c r="E31" s="963" t="s">
        <v>196</v>
      </c>
      <c r="F31" s="918">
        <f>SUM(H31:S31)</f>
        <v>292320</v>
      </c>
      <c r="G31" s="160" t="s">
        <v>628</v>
      </c>
      <c r="H31" s="166"/>
      <c r="I31" s="166">
        <f t="shared" ref="I31:S31" si="18">VLOOKUP($A31&amp;$B31&amp;I$10,Base,8,FALSE)</f>
        <v>20999.99</v>
      </c>
      <c r="J31" s="166">
        <f t="shared" si="18"/>
        <v>20999.99</v>
      </c>
      <c r="K31" s="166">
        <f t="shared" si="18"/>
        <v>20999.99</v>
      </c>
      <c r="L31" s="166">
        <f t="shared" si="18"/>
        <v>20999.99</v>
      </c>
      <c r="M31" s="166">
        <f t="shared" si="18"/>
        <v>20999.99</v>
      </c>
      <c r="N31" s="166">
        <f t="shared" si="18"/>
        <v>20999.99</v>
      </c>
      <c r="O31" s="166">
        <f t="shared" si="18"/>
        <v>20999.99</v>
      </c>
      <c r="P31" s="166">
        <f t="shared" si="18"/>
        <v>20999.99</v>
      </c>
      <c r="Q31" s="166">
        <f t="shared" si="18"/>
        <v>51240.08</v>
      </c>
      <c r="R31" s="166">
        <f t="shared" si="18"/>
        <v>24360</v>
      </c>
      <c r="S31" s="166">
        <f t="shared" si="18"/>
        <v>48720</v>
      </c>
      <c r="T31" s="329">
        <f ca="1">SUM($H31:(OFFSET($H31,0,AVANCE060826!$T$2)))</f>
        <v>219240</v>
      </c>
      <c r="U31" s="903"/>
    </row>
    <row r="32" spans="1:21" ht="27" customHeight="1" x14ac:dyDescent="0.25">
      <c r="A32" s="163">
        <v>380200</v>
      </c>
      <c r="B32" s="784">
        <v>215904</v>
      </c>
      <c r="C32" s="344"/>
      <c r="D32" s="873"/>
      <c r="E32" s="963"/>
      <c r="F32" s="918"/>
      <c r="G32" s="161" t="s">
        <v>629</v>
      </c>
      <c r="H32" s="166"/>
      <c r="I32" s="166">
        <f t="shared" ref="I32:S32" si="19">VLOOKUP($A32&amp;$B32&amp;I$10,Base,9,FALSE)</f>
        <v>20999.99</v>
      </c>
      <c r="J32" s="166">
        <f t="shared" si="19"/>
        <v>20999.99</v>
      </c>
      <c r="K32" s="166">
        <f t="shared" si="19"/>
        <v>20999.99</v>
      </c>
      <c r="L32" s="166">
        <f t="shared" si="19"/>
        <v>20999.99</v>
      </c>
      <c r="M32" s="166">
        <f t="shared" si="19"/>
        <v>20999.99</v>
      </c>
      <c r="N32" s="166">
        <f t="shared" si="19"/>
        <v>20999.99</v>
      </c>
      <c r="O32" s="166">
        <f t="shared" si="19"/>
        <v>20999.99</v>
      </c>
      <c r="P32" s="166">
        <f t="shared" si="19"/>
        <v>20999.99</v>
      </c>
      <c r="Q32" s="166">
        <f t="shared" si="19"/>
        <v>20999.99</v>
      </c>
      <c r="R32" s="166">
        <f t="shared" si="19"/>
        <v>0</v>
      </c>
      <c r="S32" s="166">
        <f t="shared" si="19"/>
        <v>0</v>
      </c>
      <c r="T32" s="185">
        <f>SUM(H32:S32)</f>
        <v>188999.91</v>
      </c>
      <c r="U32" s="903"/>
    </row>
    <row r="33" spans="1:21" ht="27" customHeight="1" x14ac:dyDescent="0.25">
      <c r="A33" s="159">
        <v>380200</v>
      </c>
      <c r="B33" s="785">
        <v>215905</v>
      </c>
      <c r="C33" s="437" t="s">
        <v>648</v>
      </c>
      <c r="D33" s="873" t="s">
        <v>649</v>
      </c>
      <c r="E33" s="963" t="s">
        <v>196</v>
      </c>
      <c r="F33" s="918"/>
      <c r="G33" s="160" t="s">
        <v>628</v>
      </c>
      <c r="H33" s="166"/>
      <c r="I33" s="166" t="e">
        <f>VLOOKUP($A33&amp;$B33&amp;I$10,Base,8,FALSE)</f>
        <v>#N/A</v>
      </c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85"/>
      <c r="U33" s="903"/>
    </row>
    <row r="34" spans="1:21" ht="27" customHeight="1" x14ac:dyDescent="0.25">
      <c r="A34" s="159">
        <v>380200</v>
      </c>
      <c r="B34" s="785">
        <v>215905</v>
      </c>
      <c r="C34" s="437"/>
      <c r="D34" s="873"/>
      <c r="E34" s="963"/>
      <c r="F34" s="918"/>
      <c r="G34" s="161" t="s">
        <v>629</v>
      </c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85">
        <f>SUM(H34:S34)</f>
        <v>0</v>
      </c>
      <c r="U34" s="903"/>
    </row>
    <row r="35" spans="1:21" ht="27" customHeight="1" x14ac:dyDescent="0.25">
      <c r="A35" s="163">
        <v>380200</v>
      </c>
      <c r="B35" s="784">
        <v>215907</v>
      </c>
      <c r="C35" s="437" t="s">
        <v>650</v>
      </c>
      <c r="D35" s="873" t="s">
        <v>651</v>
      </c>
      <c r="E35" s="963" t="s">
        <v>196</v>
      </c>
      <c r="F35" s="918">
        <f>SUM(H35:S35)</f>
        <v>178152</v>
      </c>
      <c r="G35" s="160" t="s">
        <v>628</v>
      </c>
      <c r="H35" s="166"/>
      <c r="I35" s="166">
        <f t="shared" ref="I35:S35" si="20">VLOOKUP($A35&amp;$B35&amp;I$10,Base,8,FALSE)</f>
        <v>12798</v>
      </c>
      <c r="J35" s="166">
        <f t="shared" si="20"/>
        <v>12798</v>
      </c>
      <c r="K35" s="166">
        <f t="shared" si="20"/>
        <v>12798</v>
      </c>
      <c r="L35" s="166">
        <f t="shared" si="20"/>
        <v>12798</v>
      </c>
      <c r="M35" s="166">
        <f t="shared" si="20"/>
        <v>12798</v>
      </c>
      <c r="N35" s="166">
        <f t="shared" si="20"/>
        <v>12798</v>
      </c>
      <c r="O35" s="166">
        <f t="shared" si="20"/>
        <v>12798</v>
      </c>
      <c r="P35" s="166">
        <f t="shared" si="20"/>
        <v>12798</v>
      </c>
      <c r="Q35" s="166">
        <f t="shared" si="20"/>
        <v>31230</v>
      </c>
      <c r="R35" s="166">
        <f t="shared" si="20"/>
        <v>14846</v>
      </c>
      <c r="S35" s="166">
        <f t="shared" si="20"/>
        <v>29692</v>
      </c>
      <c r="T35" s="329">
        <f ca="1">SUM($H35:(OFFSET($H35,0,AVANCE060826!$T$2)))</f>
        <v>133614</v>
      </c>
      <c r="U35" s="979"/>
    </row>
    <row r="36" spans="1:21" ht="27" customHeight="1" x14ac:dyDescent="0.25">
      <c r="A36" s="159">
        <v>380200</v>
      </c>
      <c r="B36" s="784">
        <v>215907</v>
      </c>
      <c r="C36" s="437"/>
      <c r="D36" s="873"/>
      <c r="E36" s="963"/>
      <c r="F36" s="918"/>
      <c r="G36" s="161" t="s">
        <v>629</v>
      </c>
      <c r="H36" s="166"/>
      <c r="I36" s="166">
        <f t="shared" ref="I36:S36" si="21">VLOOKUP($A36&amp;$B36&amp;I$10,Base,9,FALSE)</f>
        <v>12798</v>
      </c>
      <c r="J36" s="166">
        <f t="shared" si="21"/>
        <v>12798</v>
      </c>
      <c r="K36" s="166">
        <f t="shared" si="21"/>
        <v>12798</v>
      </c>
      <c r="L36" s="166">
        <f t="shared" si="21"/>
        <v>12798</v>
      </c>
      <c r="M36" s="166">
        <f t="shared" si="21"/>
        <v>12798</v>
      </c>
      <c r="N36" s="166">
        <f t="shared" si="21"/>
        <v>12798</v>
      </c>
      <c r="O36" s="166">
        <f t="shared" si="21"/>
        <v>12798</v>
      </c>
      <c r="P36" s="166">
        <f t="shared" si="21"/>
        <v>12798</v>
      </c>
      <c r="Q36" s="166">
        <f t="shared" si="21"/>
        <v>12798</v>
      </c>
      <c r="R36" s="166">
        <f t="shared" si="21"/>
        <v>0</v>
      </c>
      <c r="S36" s="166">
        <f t="shared" si="21"/>
        <v>0</v>
      </c>
      <c r="T36" s="185">
        <f>SUM(H36:S36)</f>
        <v>115182</v>
      </c>
      <c r="U36" s="979"/>
    </row>
    <row r="37" spans="1:21" ht="27" customHeight="1" x14ac:dyDescent="0.25">
      <c r="A37" s="159">
        <v>380200</v>
      </c>
      <c r="B37" s="784">
        <v>215906</v>
      </c>
      <c r="C37" s="437" t="s">
        <v>652</v>
      </c>
      <c r="D37" s="873" t="s">
        <v>653</v>
      </c>
      <c r="E37" s="963" t="s">
        <v>196</v>
      </c>
      <c r="F37" s="918">
        <f>SUM(H37:S37)</f>
        <v>357280</v>
      </c>
      <c r="G37" s="160" t="s">
        <v>628</v>
      </c>
      <c r="H37" s="166"/>
      <c r="I37" s="166">
        <f t="shared" ref="I37:S37" si="22">VLOOKUP($A37&amp;$B37&amp;I$10,Base,8,FALSE)</f>
        <v>0</v>
      </c>
      <c r="J37" s="166">
        <f t="shared" si="22"/>
        <v>50000.04</v>
      </c>
      <c r="K37" s="166">
        <f t="shared" si="22"/>
        <v>25000.02</v>
      </c>
      <c r="L37" s="166">
        <f t="shared" si="22"/>
        <v>25000.02</v>
      </c>
      <c r="M37" s="166">
        <f t="shared" si="22"/>
        <v>25000.02</v>
      </c>
      <c r="N37" s="166">
        <f t="shared" si="22"/>
        <v>25000.02</v>
      </c>
      <c r="O37" s="166">
        <f t="shared" si="22"/>
        <v>25000.02</v>
      </c>
      <c r="P37" s="166">
        <f t="shared" si="22"/>
        <v>25000.02</v>
      </c>
      <c r="Q37" s="166">
        <f t="shared" si="22"/>
        <v>63319.839999999997</v>
      </c>
      <c r="R37" s="166">
        <f t="shared" si="22"/>
        <v>31320</v>
      </c>
      <c r="S37" s="166">
        <f t="shared" si="22"/>
        <v>62640</v>
      </c>
      <c r="T37" s="329">
        <f ca="1">SUM($H37:(OFFSET($H37,0,AVANCE060826!$T$2)))</f>
        <v>263320</v>
      </c>
      <c r="U37" s="903"/>
    </row>
    <row r="38" spans="1:21" ht="27" customHeight="1" x14ac:dyDescent="0.25">
      <c r="A38" s="159">
        <v>380200</v>
      </c>
      <c r="B38" s="784">
        <v>215906</v>
      </c>
      <c r="C38" s="437"/>
      <c r="D38" s="873"/>
      <c r="E38" s="963"/>
      <c r="F38" s="918"/>
      <c r="G38" s="161" t="s">
        <v>629</v>
      </c>
      <c r="H38" s="166"/>
      <c r="I38" s="166">
        <f t="shared" ref="I38:S38" si="23">VLOOKUP($A38&amp;$B38&amp;I$10,Base,9,FALSE)</f>
        <v>0</v>
      </c>
      <c r="J38" s="166">
        <f t="shared" si="23"/>
        <v>50000.04</v>
      </c>
      <c r="K38" s="166">
        <f t="shared" si="23"/>
        <v>25000.02</v>
      </c>
      <c r="L38" s="166">
        <f t="shared" si="23"/>
        <v>25000.02</v>
      </c>
      <c r="M38" s="166">
        <f t="shared" si="23"/>
        <v>25000.02</v>
      </c>
      <c r="N38" s="166">
        <f t="shared" si="23"/>
        <v>25000.02</v>
      </c>
      <c r="O38" s="166">
        <f t="shared" si="23"/>
        <v>25000.02</v>
      </c>
      <c r="P38" s="166">
        <f t="shared" si="23"/>
        <v>25000.02</v>
      </c>
      <c r="Q38" s="166">
        <f t="shared" si="23"/>
        <v>0</v>
      </c>
      <c r="R38" s="166">
        <f t="shared" si="23"/>
        <v>0</v>
      </c>
      <c r="S38" s="166">
        <f t="shared" si="23"/>
        <v>0</v>
      </c>
      <c r="T38" s="185">
        <f>SUM(H38:S38)</f>
        <v>200000.15999999997</v>
      </c>
      <c r="U38" s="903"/>
    </row>
    <row r="39" spans="1:21" ht="27" customHeight="1" x14ac:dyDescent="0.25">
      <c r="A39" s="159">
        <v>380200</v>
      </c>
      <c r="B39" s="786">
        <v>215901</v>
      </c>
      <c r="C39" s="437" t="s">
        <v>633</v>
      </c>
      <c r="D39" s="873" t="s">
        <v>654</v>
      </c>
      <c r="E39" s="963" t="s">
        <v>196</v>
      </c>
      <c r="F39" s="918">
        <f>SUM(H39:S39)</f>
        <v>658537.36</v>
      </c>
      <c r="G39" s="160" t="s">
        <v>628</v>
      </c>
      <c r="H39" s="166"/>
      <c r="I39" s="166">
        <f t="shared" ref="I39:S39" si="24">VLOOKUP($A39&amp;$B39&amp;I$10,Base,8,FALSE)</f>
        <v>47308.02</v>
      </c>
      <c r="J39" s="166">
        <f t="shared" si="24"/>
        <v>47308.02</v>
      </c>
      <c r="K39" s="166">
        <f t="shared" si="24"/>
        <v>47308.02</v>
      </c>
      <c r="L39" s="166">
        <f t="shared" si="24"/>
        <v>47308.02</v>
      </c>
      <c r="M39" s="166">
        <f t="shared" si="24"/>
        <v>47308.02</v>
      </c>
      <c r="N39" s="166">
        <f t="shared" si="24"/>
        <v>47308.02</v>
      </c>
      <c r="O39" s="166">
        <f t="shared" si="24"/>
        <v>47308.02</v>
      </c>
      <c r="P39" s="166">
        <f t="shared" si="24"/>
        <v>47308.02</v>
      </c>
      <c r="Q39" s="166">
        <f t="shared" si="24"/>
        <v>115437.84</v>
      </c>
      <c r="R39" s="166">
        <f t="shared" si="24"/>
        <v>54878</v>
      </c>
      <c r="S39" s="166">
        <f t="shared" si="24"/>
        <v>109757.36</v>
      </c>
      <c r="T39" s="329">
        <f ca="1">SUM($H39:(OFFSET($H39,0,AVANCE060826!$T$2)))</f>
        <v>493902</v>
      </c>
      <c r="U39" s="979"/>
    </row>
    <row r="40" spans="1:21" ht="27" customHeight="1" x14ac:dyDescent="0.25">
      <c r="A40" s="159">
        <v>380200</v>
      </c>
      <c r="B40" s="786">
        <v>215901</v>
      </c>
      <c r="C40" s="437"/>
      <c r="D40" s="873"/>
      <c r="E40" s="963"/>
      <c r="F40" s="918"/>
      <c r="G40" s="161" t="s">
        <v>629</v>
      </c>
      <c r="H40" s="166"/>
      <c r="I40" s="166">
        <f t="shared" ref="I40:S40" si="25">VLOOKUP($A40&amp;$B40&amp;I$10,Base,9,FALSE)</f>
        <v>47308.02</v>
      </c>
      <c r="J40" s="166">
        <f t="shared" si="25"/>
        <v>47308.02</v>
      </c>
      <c r="K40" s="166">
        <f t="shared" si="25"/>
        <v>47308.02</v>
      </c>
      <c r="L40" s="166">
        <f t="shared" si="25"/>
        <v>47308.02</v>
      </c>
      <c r="M40" s="166">
        <f t="shared" si="25"/>
        <v>47308.02</v>
      </c>
      <c r="N40" s="166">
        <f t="shared" si="25"/>
        <v>47308.02</v>
      </c>
      <c r="O40" s="166">
        <f t="shared" si="25"/>
        <v>47308.02</v>
      </c>
      <c r="P40" s="166">
        <f t="shared" si="25"/>
        <v>47308.02</v>
      </c>
      <c r="Q40" s="166">
        <f t="shared" si="25"/>
        <v>47308.02</v>
      </c>
      <c r="R40" s="166">
        <f t="shared" si="25"/>
        <v>0</v>
      </c>
      <c r="S40" s="166">
        <f t="shared" si="25"/>
        <v>0</v>
      </c>
      <c r="T40" s="185">
        <f>SUM(H40:S40)</f>
        <v>425772.18000000005</v>
      </c>
      <c r="U40" s="979"/>
    </row>
    <row r="41" spans="1:21" ht="27" customHeight="1" x14ac:dyDescent="0.25">
      <c r="A41" s="502">
        <v>200200</v>
      </c>
      <c r="B41" s="787">
        <v>212702</v>
      </c>
      <c r="C41" s="437" t="s">
        <v>633</v>
      </c>
      <c r="D41" s="873" t="s">
        <v>655</v>
      </c>
      <c r="E41" s="963" t="s">
        <v>656</v>
      </c>
      <c r="F41" s="918">
        <f>SUM(H41:S41)</f>
        <v>0</v>
      </c>
      <c r="G41" s="160" t="s">
        <v>628</v>
      </c>
      <c r="H41" s="166"/>
      <c r="I41" s="166">
        <f t="shared" ref="I41:S41" si="26">VLOOKUP($A41&amp;$B41&amp;I$10,Base,8,FALSE)</f>
        <v>0</v>
      </c>
      <c r="J41" s="166">
        <f t="shared" si="26"/>
        <v>0</v>
      </c>
      <c r="K41" s="166">
        <f t="shared" si="26"/>
        <v>0</v>
      </c>
      <c r="L41" s="166">
        <f t="shared" si="26"/>
        <v>0</v>
      </c>
      <c r="M41" s="166">
        <f t="shared" si="26"/>
        <v>0</v>
      </c>
      <c r="N41" s="166">
        <f t="shared" si="26"/>
        <v>0</v>
      </c>
      <c r="O41" s="166">
        <f t="shared" si="26"/>
        <v>0</v>
      </c>
      <c r="P41" s="166">
        <f t="shared" si="26"/>
        <v>0</v>
      </c>
      <c r="Q41" s="166">
        <f t="shared" si="26"/>
        <v>0</v>
      </c>
      <c r="R41" s="166">
        <f t="shared" si="26"/>
        <v>0</v>
      </c>
      <c r="S41" s="166">
        <f t="shared" si="26"/>
        <v>0</v>
      </c>
      <c r="T41" s="329">
        <f ca="1">SUM($H41:(OFFSET($H41,0,AVANCE060826!$T$2)))</f>
        <v>0</v>
      </c>
      <c r="U41" s="903"/>
    </row>
    <row r="42" spans="1:21" ht="37.5" customHeight="1" x14ac:dyDescent="0.25">
      <c r="A42" s="502">
        <v>200200</v>
      </c>
      <c r="B42" s="787">
        <v>212702</v>
      </c>
      <c r="C42" s="503"/>
      <c r="D42" s="873"/>
      <c r="E42" s="963"/>
      <c r="F42" s="918"/>
      <c r="G42" s="161" t="s">
        <v>629</v>
      </c>
      <c r="H42" s="166"/>
      <c r="I42" s="166">
        <f t="shared" ref="I42:S42" si="27">VLOOKUP($A42&amp;$B42&amp;I$10,Base,9,FALSE)</f>
        <v>0</v>
      </c>
      <c r="J42" s="166">
        <f t="shared" si="27"/>
        <v>0</v>
      </c>
      <c r="K42" s="166">
        <f t="shared" si="27"/>
        <v>0</v>
      </c>
      <c r="L42" s="166">
        <f t="shared" si="27"/>
        <v>0</v>
      </c>
      <c r="M42" s="166">
        <f t="shared" si="27"/>
        <v>0</v>
      </c>
      <c r="N42" s="166">
        <f t="shared" si="27"/>
        <v>0</v>
      </c>
      <c r="O42" s="166">
        <f t="shared" si="27"/>
        <v>0</v>
      </c>
      <c r="P42" s="166">
        <f t="shared" si="27"/>
        <v>0</v>
      </c>
      <c r="Q42" s="166">
        <f t="shared" si="27"/>
        <v>0</v>
      </c>
      <c r="R42" s="166">
        <f t="shared" si="27"/>
        <v>0</v>
      </c>
      <c r="S42" s="166">
        <f t="shared" si="27"/>
        <v>0</v>
      </c>
      <c r="T42" s="185">
        <f>SUM(H42:S42)</f>
        <v>0</v>
      </c>
      <c r="U42" s="903"/>
    </row>
    <row r="43" spans="1:21" ht="27" customHeight="1" thickBot="1" x14ac:dyDescent="0.3">
      <c r="A43" s="504">
        <v>150904</v>
      </c>
      <c r="B43" s="787">
        <v>218104</v>
      </c>
      <c r="C43" s="505" t="s">
        <v>633</v>
      </c>
      <c r="D43" s="873" t="s">
        <v>657</v>
      </c>
      <c r="E43" s="963" t="s">
        <v>658</v>
      </c>
      <c r="F43" s="918">
        <f>SUM(H43:S43)</f>
        <v>2459200</v>
      </c>
      <c r="G43" s="160" t="s">
        <v>628</v>
      </c>
      <c r="H43" s="166"/>
      <c r="I43" s="166">
        <f t="shared" ref="I43:S43" si="28">VLOOKUP($A43&amp;$B43&amp;I$10,Base,8,FALSE)</f>
        <v>0</v>
      </c>
      <c r="J43" s="166">
        <f t="shared" si="28"/>
        <v>405999.78</v>
      </c>
      <c r="K43" s="166">
        <f t="shared" si="28"/>
        <v>202999.89</v>
      </c>
      <c r="L43" s="166">
        <f t="shared" si="28"/>
        <v>202999.89</v>
      </c>
      <c r="M43" s="166">
        <f t="shared" si="28"/>
        <v>202999.89</v>
      </c>
      <c r="N43" s="166">
        <f t="shared" si="28"/>
        <v>202999.89</v>
      </c>
      <c r="O43" s="166">
        <f t="shared" si="28"/>
        <v>202999.89</v>
      </c>
      <c r="P43" s="166">
        <f t="shared" si="28"/>
        <v>202999.89</v>
      </c>
      <c r="Q43" s="166">
        <f t="shared" si="28"/>
        <v>208800.88</v>
      </c>
      <c r="R43" s="166">
        <f t="shared" si="28"/>
        <v>208800</v>
      </c>
      <c r="S43" s="166">
        <f t="shared" si="28"/>
        <v>417600</v>
      </c>
      <c r="T43" s="329">
        <f ca="1">SUM($H43:(OFFSET($H43,0,AVANCE060826!$T$2)))</f>
        <v>1832800</v>
      </c>
      <c r="U43" s="903"/>
    </row>
    <row r="44" spans="1:21" ht="37.5" customHeight="1" thickTop="1" x14ac:dyDescent="0.25">
      <c r="A44" s="504">
        <v>150904</v>
      </c>
      <c r="B44" s="787">
        <v>218104</v>
      </c>
      <c r="C44" s="506"/>
      <c r="D44" s="873"/>
      <c r="E44" s="963"/>
      <c r="F44" s="918"/>
      <c r="G44" s="161" t="s">
        <v>629</v>
      </c>
      <c r="H44" s="166"/>
      <c r="I44" s="166">
        <f t="shared" ref="I44:S44" si="29">VLOOKUP($A44&amp;$B44&amp;I$10,Base,9,FALSE)</f>
        <v>0</v>
      </c>
      <c r="J44" s="166">
        <f t="shared" si="29"/>
        <v>405999.78</v>
      </c>
      <c r="K44" s="166">
        <f t="shared" si="29"/>
        <v>202999.89</v>
      </c>
      <c r="L44" s="166">
        <f t="shared" si="29"/>
        <v>202999.89</v>
      </c>
      <c r="M44" s="166">
        <f t="shared" si="29"/>
        <v>202999.89</v>
      </c>
      <c r="N44" s="166">
        <f t="shared" si="29"/>
        <v>202999.89</v>
      </c>
      <c r="O44" s="166">
        <f t="shared" si="29"/>
        <v>202999.89</v>
      </c>
      <c r="P44" s="166">
        <f t="shared" si="29"/>
        <v>202999.89</v>
      </c>
      <c r="Q44" s="166">
        <f t="shared" si="29"/>
        <v>0</v>
      </c>
      <c r="R44" s="166">
        <f t="shared" si="29"/>
        <v>0</v>
      </c>
      <c r="S44" s="166">
        <f t="shared" si="29"/>
        <v>0</v>
      </c>
      <c r="T44" s="185">
        <f>SUM(H44:S44)</f>
        <v>1623999.12</v>
      </c>
      <c r="U44" s="903"/>
    </row>
    <row r="45" spans="1:21" ht="37.5" customHeight="1" thickBot="1" x14ac:dyDescent="0.3">
      <c r="A45" s="744">
        <v>50100</v>
      </c>
      <c r="B45" s="788">
        <v>219001</v>
      </c>
      <c r="C45" s="505" t="s">
        <v>633</v>
      </c>
      <c r="D45" s="873" t="s">
        <v>659</v>
      </c>
      <c r="E45" s="963" t="s">
        <v>180</v>
      </c>
      <c r="F45" s="918">
        <f>SUM(H45:S45)</f>
        <v>306000</v>
      </c>
      <c r="G45" s="160" t="s">
        <v>628</v>
      </c>
      <c r="H45" s="166"/>
      <c r="I45" s="166">
        <f t="shared" ref="I45:S45" si="30">VLOOKUP($A45&amp;$B45&amp;I$10,Base,8,FALSE)</f>
        <v>0</v>
      </c>
      <c r="J45" s="166">
        <f t="shared" si="30"/>
        <v>51000</v>
      </c>
      <c r="K45" s="166">
        <f t="shared" si="30"/>
        <v>25500</v>
      </c>
      <c r="L45" s="166">
        <f t="shared" si="30"/>
        <v>25500</v>
      </c>
      <c r="M45" s="166">
        <f t="shared" si="30"/>
        <v>25500</v>
      </c>
      <c r="N45" s="166">
        <f t="shared" si="30"/>
        <v>25500</v>
      </c>
      <c r="O45" s="166">
        <f t="shared" si="30"/>
        <v>25500</v>
      </c>
      <c r="P45" s="166">
        <f t="shared" si="30"/>
        <v>25500</v>
      </c>
      <c r="Q45" s="166">
        <f t="shared" si="30"/>
        <v>25500</v>
      </c>
      <c r="R45" s="166">
        <f t="shared" si="30"/>
        <v>25500</v>
      </c>
      <c r="S45" s="166">
        <f t="shared" si="30"/>
        <v>51000</v>
      </c>
      <c r="T45" s="329">
        <f ca="1">SUM($H45:(OFFSET($H45,0,AVANCE060826!$T$2)))</f>
        <v>229500</v>
      </c>
      <c r="U45" s="903"/>
    </row>
    <row r="46" spans="1:21" ht="37.5" customHeight="1" thickTop="1" x14ac:dyDescent="0.25">
      <c r="A46" s="744">
        <v>50100</v>
      </c>
      <c r="B46" s="788">
        <v>219001</v>
      </c>
      <c r="C46" s="506"/>
      <c r="D46" s="873"/>
      <c r="E46" s="963"/>
      <c r="F46" s="918"/>
      <c r="G46" s="161" t="s">
        <v>629</v>
      </c>
      <c r="H46" s="166"/>
      <c r="I46" s="166">
        <f t="shared" ref="I46:S46" si="31">VLOOKUP($A46&amp;$B46&amp;I$10,Base,9,FALSE)</f>
        <v>0</v>
      </c>
      <c r="J46" s="166">
        <f t="shared" si="31"/>
        <v>51000</v>
      </c>
      <c r="K46" s="166">
        <f t="shared" si="31"/>
        <v>25500</v>
      </c>
      <c r="L46" s="166">
        <f t="shared" si="31"/>
        <v>25500</v>
      </c>
      <c r="M46" s="166">
        <f t="shared" si="31"/>
        <v>25500</v>
      </c>
      <c r="N46" s="166">
        <f t="shared" si="31"/>
        <v>25500</v>
      </c>
      <c r="O46" s="166">
        <f t="shared" si="31"/>
        <v>25500</v>
      </c>
      <c r="P46" s="166">
        <f t="shared" si="31"/>
        <v>25500</v>
      </c>
      <c r="Q46" s="166">
        <f t="shared" si="31"/>
        <v>25500</v>
      </c>
      <c r="R46" s="166">
        <f t="shared" si="31"/>
        <v>0</v>
      </c>
      <c r="S46" s="166">
        <f t="shared" si="31"/>
        <v>0</v>
      </c>
      <c r="T46" s="185">
        <f>SUM(H46:S46)</f>
        <v>229500</v>
      </c>
      <c r="U46" s="903"/>
    </row>
    <row r="47" spans="1:21" ht="37.5" customHeight="1" thickBot="1" x14ac:dyDescent="0.3">
      <c r="A47" s="273">
        <v>73120</v>
      </c>
      <c r="B47" s="789">
        <v>219302</v>
      </c>
      <c r="C47" s="505"/>
      <c r="D47" s="873" t="s">
        <v>661</v>
      </c>
      <c r="E47" s="963" t="s">
        <v>255</v>
      </c>
      <c r="F47" s="918">
        <f>SUM(H47:S47)</f>
        <v>90479.999999999985</v>
      </c>
      <c r="G47" s="160" t="s">
        <v>628</v>
      </c>
      <c r="H47" s="166"/>
      <c r="I47" s="166">
        <f t="shared" ref="I47:S47" si="32">VLOOKUP($A47&amp;$B47&amp;I$10,Base,8,FALSE)</f>
        <v>7539.99</v>
      </c>
      <c r="J47" s="166">
        <f t="shared" si="32"/>
        <v>7539.99</v>
      </c>
      <c r="K47" s="166">
        <f t="shared" si="32"/>
        <v>7539.99</v>
      </c>
      <c r="L47" s="166">
        <f t="shared" si="32"/>
        <v>7539.99</v>
      </c>
      <c r="M47" s="166">
        <f t="shared" si="32"/>
        <v>7539.99</v>
      </c>
      <c r="N47" s="166">
        <f t="shared" si="32"/>
        <v>7539.99</v>
      </c>
      <c r="O47" s="166">
        <f t="shared" si="32"/>
        <v>7539.99</v>
      </c>
      <c r="P47" s="166">
        <f t="shared" si="32"/>
        <v>7539.99</v>
      </c>
      <c r="Q47" s="166">
        <f t="shared" si="32"/>
        <v>7540.08</v>
      </c>
      <c r="R47" s="166">
        <f t="shared" si="32"/>
        <v>7540</v>
      </c>
      <c r="S47" s="166">
        <f t="shared" si="32"/>
        <v>15080</v>
      </c>
      <c r="T47" s="329">
        <f ca="1">SUM($H47:(OFFSET($H47,0,AVANCE060826!$T$2)))</f>
        <v>67859.999999999985</v>
      </c>
      <c r="U47" s="903"/>
    </row>
    <row r="48" spans="1:21" ht="37.5" customHeight="1" thickTop="1" x14ac:dyDescent="0.25">
      <c r="A48" s="273">
        <v>73120</v>
      </c>
      <c r="B48" s="789">
        <v>219302</v>
      </c>
      <c r="C48" s="506"/>
      <c r="D48" s="873"/>
      <c r="E48" s="963"/>
      <c r="F48" s="918"/>
      <c r="G48" s="161" t="s">
        <v>629</v>
      </c>
      <c r="H48" s="166"/>
      <c r="I48" s="166">
        <f t="shared" ref="I48:S48" si="33">VLOOKUP($A48&amp;$B48&amp;I$10,Base,9,FALSE)</f>
        <v>7539.99</v>
      </c>
      <c r="J48" s="166">
        <f t="shared" si="33"/>
        <v>7539.99</v>
      </c>
      <c r="K48" s="166">
        <f t="shared" si="33"/>
        <v>7539.99</v>
      </c>
      <c r="L48" s="166">
        <f t="shared" si="33"/>
        <v>7539.99</v>
      </c>
      <c r="M48" s="166">
        <f t="shared" si="33"/>
        <v>7539.99</v>
      </c>
      <c r="N48" s="166">
        <f t="shared" si="33"/>
        <v>7539.99</v>
      </c>
      <c r="O48" s="166">
        <f t="shared" si="33"/>
        <v>7539.99</v>
      </c>
      <c r="P48" s="166">
        <f t="shared" si="33"/>
        <v>7539.99</v>
      </c>
      <c r="Q48" s="166">
        <f t="shared" si="33"/>
        <v>7539.99</v>
      </c>
      <c r="R48" s="166">
        <f t="shared" si="33"/>
        <v>0</v>
      </c>
      <c r="S48" s="166">
        <f t="shared" si="33"/>
        <v>0</v>
      </c>
      <c r="T48" s="185">
        <f>SUM(H48:S48)</f>
        <v>67859.909999999989</v>
      </c>
      <c r="U48" s="903"/>
    </row>
    <row r="49" spans="1:21" ht="37.5" customHeight="1" thickBot="1" x14ac:dyDescent="0.3">
      <c r="A49" s="273">
        <v>73110</v>
      </c>
      <c r="B49" s="789">
        <v>219305</v>
      </c>
      <c r="C49" s="505"/>
      <c r="D49" s="873" t="s">
        <v>663</v>
      </c>
      <c r="E49" s="963" t="s">
        <v>255</v>
      </c>
      <c r="F49" s="918">
        <f>SUM(H49:S49)</f>
        <v>126495.88</v>
      </c>
      <c r="G49" s="160" t="s">
        <v>628</v>
      </c>
      <c r="H49" s="166"/>
      <c r="I49" s="166">
        <f t="shared" ref="I49:S49" si="34">VLOOKUP($A49&amp;$B49&amp;I$10,Base,8,FALSE)</f>
        <v>0</v>
      </c>
      <c r="J49" s="166">
        <f t="shared" si="34"/>
        <v>18230</v>
      </c>
      <c r="K49" s="166">
        <f t="shared" si="34"/>
        <v>9115</v>
      </c>
      <c r="L49" s="166">
        <f t="shared" si="34"/>
        <v>9115</v>
      </c>
      <c r="M49" s="166">
        <f t="shared" si="34"/>
        <v>9115</v>
      </c>
      <c r="N49" s="166">
        <f t="shared" si="34"/>
        <v>9115</v>
      </c>
      <c r="O49" s="166">
        <f t="shared" si="34"/>
        <v>9115</v>
      </c>
      <c r="P49" s="166">
        <f t="shared" si="34"/>
        <v>9115</v>
      </c>
      <c r="Q49" s="166">
        <f t="shared" si="34"/>
        <v>13394</v>
      </c>
      <c r="R49" s="166">
        <f t="shared" si="34"/>
        <v>13394</v>
      </c>
      <c r="S49" s="166">
        <f t="shared" si="34"/>
        <v>26787.88</v>
      </c>
      <c r="T49" s="329">
        <f ca="1">SUM($H49:(OFFSET($H49,0,AVANCE060826!$T$2)))</f>
        <v>86314</v>
      </c>
      <c r="U49" s="903"/>
    </row>
    <row r="50" spans="1:21" ht="37.5" customHeight="1" thickTop="1" x14ac:dyDescent="0.25">
      <c r="A50" s="273">
        <v>73110</v>
      </c>
      <c r="B50" s="789">
        <v>219305</v>
      </c>
      <c r="C50" s="506"/>
      <c r="D50" s="873"/>
      <c r="E50" s="963"/>
      <c r="F50" s="918"/>
      <c r="G50" s="161" t="s">
        <v>629</v>
      </c>
      <c r="H50" s="166"/>
      <c r="I50" s="166">
        <f t="shared" ref="I50:S50" si="35">VLOOKUP($A50&amp;$B50&amp;I$10,Base,9,FALSE)</f>
        <v>0</v>
      </c>
      <c r="J50" s="166">
        <f t="shared" si="35"/>
        <v>18230</v>
      </c>
      <c r="K50" s="166">
        <f t="shared" si="35"/>
        <v>9115</v>
      </c>
      <c r="L50" s="166">
        <f t="shared" si="35"/>
        <v>9115</v>
      </c>
      <c r="M50" s="166">
        <f t="shared" si="35"/>
        <v>9115</v>
      </c>
      <c r="N50" s="166">
        <f t="shared" si="35"/>
        <v>9115</v>
      </c>
      <c r="O50" s="166">
        <f t="shared" si="35"/>
        <v>9115</v>
      </c>
      <c r="P50" s="166">
        <f t="shared" si="35"/>
        <v>9115</v>
      </c>
      <c r="Q50" s="166">
        <f t="shared" si="35"/>
        <v>0</v>
      </c>
      <c r="R50" s="166">
        <f t="shared" si="35"/>
        <v>0</v>
      </c>
      <c r="S50" s="166">
        <f t="shared" si="35"/>
        <v>0</v>
      </c>
      <c r="T50" s="185">
        <f>SUM(H50:S50)</f>
        <v>72920</v>
      </c>
      <c r="U50" s="903"/>
    </row>
    <row r="51" spans="1:21" ht="27" customHeight="1" thickBot="1" x14ac:dyDescent="0.3">
      <c r="A51" s="273">
        <v>73100</v>
      </c>
      <c r="B51" s="790" t="s">
        <v>84</v>
      </c>
      <c r="C51" s="505"/>
      <c r="D51" s="873" t="s">
        <v>664</v>
      </c>
      <c r="E51" s="963" t="s">
        <v>255</v>
      </c>
      <c r="F51" s="918">
        <f>SUM(H51:S51)</f>
        <v>0</v>
      </c>
      <c r="G51" s="160" t="s">
        <v>628</v>
      </c>
      <c r="H51" s="509"/>
      <c r="I51" s="166">
        <f t="shared" ref="I51:S51" si="36">VLOOKUP($A51&amp;$B51&amp;I$10,Base,8,FALSE)</f>
        <v>0</v>
      </c>
      <c r="J51" s="166">
        <f t="shared" si="36"/>
        <v>0</v>
      </c>
      <c r="K51" s="166">
        <f t="shared" si="36"/>
        <v>0</v>
      </c>
      <c r="L51" s="166">
        <f t="shared" si="36"/>
        <v>0</v>
      </c>
      <c r="M51" s="166">
        <f t="shared" si="36"/>
        <v>0</v>
      </c>
      <c r="N51" s="166">
        <f t="shared" si="36"/>
        <v>0</v>
      </c>
      <c r="O51" s="166">
        <f t="shared" si="36"/>
        <v>0</v>
      </c>
      <c r="P51" s="166">
        <f t="shared" si="36"/>
        <v>0</v>
      </c>
      <c r="Q51" s="166">
        <f t="shared" si="36"/>
        <v>0</v>
      </c>
      <c r="R51" s="166">
        <f t="shared" si="36"/>
        <v>0</v>
      </c>
      <c r="S51" s="166">
        <f t="shared" si="36"/>
        <v>0</v>
      </c>
      <c r="T51" s="329">
        <f ca="1">SUM($H51:(OFFSET($H51,0,AVANCE060826!$T$2)))</f>
        <v>0</v>
      </c>
      <c r="U51" s="903"/>
    </row>
    <row r="52" spans="1:21" ht="33.75" customHeight="1" thickTop="1" x14ac:dyDescent="0.25">
      <c r="A52" s="273">
        <v>73100</v>
      </c>
      <c r="B52" s="790" t="s">
        <v>84</v>
      </c>
      <c r="C52" s="506"/>
      <c r="D52" s="873"/>
      <c r="E52" s="963"/>
      <c r="F52" s="918"/>
      <c r="G52" s="161" t="s">
        <v>629</v>
      </c>
      <c r="H52" s="166"/>
      <c r="I52" s="166">
        <f t="shared" ref="I52:S52" si="37">VLOOKUP($A52&amp;$B52&amp;I$10,Base,9,FALSE)</f>
        <v>0</v>
      </c>
      <c r="J52" s="166">
        <f t="shared" si="37"/>
        <v>0</v>
      </c>
      <c r="K52" s="166">
        <f t="shared" si="37"/>
        <v>0</v>
      </c>
      <c r="L52" s="166">
        <f t="shared" si="37"/>
        <v>0</v>
      </c>
      <c r="M52" s="166">
        <f t="shared" si="37"/>
        <v>0</v>
      </c>
      <c r="N52" s="166">
        <f t="shared" si="37"/>
        <v>0</v>
      </c>
      <c r="O52" s="166">
        <f t="shared" si="37"/>
        <v>0</v>
      </c>
      <c r="P52" s="166">
        <f t="shared" si="37"/>
        <v>0</v>
      </c>
      <c r="Q52" s="166">
        <f t="shared" si="37"/>
        <v>0</v>
      </c>
      <c r="R52" s="166">
        <f t="shared" si="37"/>
        <v>0</v>
      </c>
      <c r="S52" s="166">
        <f t="shared" si="37"/>
        <v>0</v>
      </c>
      <c r="T52" s="185">
        <f>SUM(H52:S52)</f>
        <v>0</v>
      </c>
      <c r="U52" s="903"/>
    </row>
    <row r="53" spans="1:21" ht="15.75" thickBot="1" x14ac:dyDescent="0.3">
      <c r="A53" s="40"/>
      <c r="B53" s="4"/>
      <c r="C53" s="24">
        <f>COUNT(#REF!)</f>
        <v>0</v>
      </c>
      <c r="D53" s="7"/>
      <c r="E53" s="6"/>
      <c r="F53" s="997">
        <f>SUM(F13:F52)</f>
        <v>13923199.419999998</v>
      </c>
      <c r="G53" s="997"/>
      <c r="H53" s="32">
        <f>+H13+H17+H19+H21+H23+H25+H27+H29+H31+H33+H35+H37+H39+H41+H43+H51+H45+H47+H49+H15</f>
        <v>0</v>
      </c>
      <c r="I53" s="32" t="e">
        <f t="shared" ref="I53:T53" si="38">+I13+I17+I19+I21+I23+I25+I27+I29+I31+I33+I35+I37+I39+I41+I43+I51+I45+I47+I49+I15</f>
        <v>#N/A</v>
      </c>
      <c r="J53" s="32">
        <f t="shared" si="38"/>
        <v>1859864.62</v>
      </c>
      <c r="K53" s="32">
        <f t="shared" si="38"/>
        <v>1275855.3100000003</v>
      </c>
      <c r="L53" s="32">
        <f t="shared" si="38"/>
        <v>1138896.1300000001</v>
      </c>
      <c r="M53" s="32">
        <f t="shared" si="38"/>
        <v>1111214.49</v>
      </c>
      <c r="N53" s="32">
        <f t="shared" si="38"/>
        <v>1275855.3</v>
      </c>
      <c r="O53" s="32">
        <f t="shared" si="38"/>
        <v>1125055.31</v>
      </c>
      <c r="P53" s="32">
        <f t="shared" si="38"/>
        <v>974255.31</v>
      </c>
      <c r="Q53" s="32">
        <f t="shared" si="38"/>
        <v>1498050.5300000003</v>
      </c>
      <c r="R53" s="32">
        <f t="shared" si="38"/>
        <v>1191837</v>
      </c>
      <c r="S53" s="32">
        <f t="shared" si="38"/>
        <v>2383669.42</v>
      </c>
      <c r="T53" s="32">
        <f t="shared" ca="1" si="38"/>
        <v>10347693</v>
      </c>
      <c r="U53" s="5"/>
    </row>
    <row r="54" spans="1:21" ht="31.5" customHeight="1" thickBot="1" x14ac:dyDescent="0.3">
      <c r="F54" s="998"/>
      <c r="G54" s="998"/>
      <c r="H54" s="32">
        <f t="shared" ref="H54:T54" si="39">+H14+H18+H20+H22+H24+H26+H28+H30+H32+H34+H36+H38+H40+H42+H44+H52+H46+H48+H50+H16</f>
        <v>0</v>
      </c>
      <c r="I54" s="32">
        <f t="shared" si="39"/>
        <v>88646.000000000015</v>
      </c>
      <c r="J54" s="32">
        <f t="shared" si="39"/>
        <v>1859864.62</v>
      </c>
      <c r="K54" s="32">
        <f t="shared" si="39"/>
        <v>1275855.3100000003</v>
      </c>
      <c r="L54" s="32">
        <f t="shared" si="39"/>
        <v>1138896.1300000001</v>
      </c>
      <c r="M54" s="32">
        <f t="shared" si="39"/>
        <v>1111214.49</v>
      </c>
      <c r="N54" s="32">
        <f t="shared" si="39"/>
        <v>1275855.3</v>
      </c>
      <c r="O54" s="32">
        <f t="shared" si="39"/>
        <v>1125055.31</v>
      </c>
      <c r="P54" s="32">
        <f t="shared" si="39"/>
        <v>974255.31</v>
      </c>
      <c r="Q54" s="32">
        <f t="shared" si="39"/>
        <v>710797.07000000007</v>
      </c>
      <c r="R54" s="32">
        <f t="shared" si="39"/>
        <v>0</v>
      </c>
      <c r="S54" s="32">
        <f t="shared" si="39"/>
        <v>0</v>
      </c>
      <c r="T54" s="32">
        <f t="shared" si="39"/>
        <v>9560439.5399999991</v>
      </c>
      <c r="U54" s="857"/>
    </row>
    <row r="55" spans="1:21" ht="31.5" customHeight="1" x14ac:dyDescent="0.25"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857"/>
    </row>
    <row r="56" spans="1:21" ht="31.5" customHeight="1" x14ac:dyDescent="0.25"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</row>
    <row r="57" spans="1:21" x14ac:dyDescent="0.25"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21" x14ac:dyDescent="0.25"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21" x14ac:dyDescent="0.25"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21" x14ac:dyDescent="0.25"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21" x14ac:dyDescent="0.25"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21" x14ac:dyDescent="0.25"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21" x14ac:dyDescent="0.25"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21" x14ac:dyDescent="0.25"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6:19" x14ac:dyDescent="0.25"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6:19" x14ac:dyDescent="0.25"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6:19" x14ac:dyDescent="0.25"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6:19" x14ac:dyDescent="0.25"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6:19" x14ac:dyDescent="0.25"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6:19" x14ac:dyDescent="0.25"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6:19" x14ac:dyDescent="0.25"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6:19" x14ac:dyDescent="0.25"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6:19" x14ac:dyDescent="0.25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</sheetData>
  <autoFilter ref="B12:B54"/>
  <mergeCells count="102">
    <mergeCell ref="U45:U46"/>
    <mergeCell ref="D47:D48"/>
    <mergeCell ref="E47:E48"/>
    <mergeCell ref="F47:F48"/>
    <mergeCell ref="U47:U48"/>
    <mergeCell ref="D45:D46"/>
    <mergeCell ref="E45:E46"/>
    <mergeCell ref="F45:F46"/>
    <mergeCell ref="F53:F54"/>
    <mergeCell ref="G53:G54"/>
    <mergeCell ref="U54:U55"/>
    <mergeCell ref="U49:U50"/>
    <mergeCell ref="D51:D52"/>
    <mergeCell ref="E51:E52"/>
    <mergeCell ref="F51:F52"/>
    <mergeCell ref="U51:U52"/>
    <mergeCell ref="D49:D50"/>
    <mergeCell ref="E49:E50"/>
    <mergeCell ref="F49:F50"/>
    <mergeCell ref="D39:D40"/>
    <mergeCell ref="E39:E40"/>
    <mergeCell ref="F39:F40"/>
    <mergeCell ref="U39:U40"/>
    <mergeCell ref="D37:D38"/>
    <mergeCell ref="E37:E38"/>
    <mergeCell ref="F37:F38"/>
    <mergeCell ref="U41:U42"/>
    <mergeCell ref="D43:D44"/>
    <mergeCell ref="E43:E44"/>
    <mergeCell ref="F43:F44"/>
    <mergeCell ref="U43:U44"/>
    <mergeCell ref="D41:D42"/>
    <mergeCell ref="E41:E42"/>
    <mergeCell ref="F41:F42"/>
    <mergeCell ref="U33:U34"/>
    <mergeCell ref="D35:D36"/>
    <mergeCell ref="E35:E36"/>
    <mergeCell ref="F35:F36"/>
    <mergeCell ref="U35:U36"/>
    <mergeCell ref="D33:D34"/>
    <mergeCell ref="E33:E34"/>
    <mergeCell ref="F33:F34"/>
    <mergeCell ref="U37:U38"/>
    <mergeCell ref="D27:D28"/>
    <mergeCell ref="E27:E28"/>
    <mergeCell ref="F27:F28"/>
    <mergeCell ref="U27:U28"/>
    <mergeCell ref="D25:D26"/>
    <mergeCell ref="E25:E26"/>
    <mergeCell ref="F25:F26"/>
    <mergeCell ref="U29:U30"/>
    <mergeCell ref="D31:D32"/>
    <mergeCell ref="E31:E32"/>
    <mergeCell ref="F31:F32"/>
    <mergeCell ref="U31:U32"/>
    <mergeCell ref="D29:D30"/>
    <mergeCell ref="E29:E30"/>
    <mergeCell ref="F29:F30"/>
    <mergeCell ref="U21:U22"/>
    <mergeCell ref="D23:D24"/>
    <mergeCell ref="E23:E24"/>
    <mergeCell ref="F23:F24"/>
    <mergeCell ref="U23:U24"/>
    <mergeCell ref="D21:D22"/>
    <mergeCell ref="E21:E22"/>
    <mergeCell ref="F21:F22"/>
    <mergeCell ref="U25:U26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3" fitToHeight="21" orientation="landscape" r:id="rId1"/>
  <ignoredErrors>
    <ignoredError sqref="T15:T32 I34:S34 J33:S33 T34:T51" 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zoomScaleSheetLayoutView="90" zoomScalePageLayoutView="80" workbookViewId="0">
      <pane xSplit="3" ySplit="11" topLeftCell="E19" activePane="bottomRight" state="frozen"/>
      <selection pane="topRight" activeCell="D1" sqref="D1"/>
      <selection pane="bottomLeft" activeCell="A12" sqref="A12"/>
      <selection pane="bottomRight" activeCell="N19" sqref="N19:N21"/>
    </sheetView>
  </sheetViews>
  <sheetFormatPr baseColWidth="10" defaultRowHeight="15" x14ac:dyDescent="0.25"/>
  <cols>
    <col min="1" max="1" width="8.42578125" customWidth="1"/>
    <col min="2" max="2" width="11.5703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8.85546875" customWidth="1"/>
    <col min="9" max="10" width="15" customWidth="1"/>
    <col min="11" max="12" width="15" hidden="1" customWidth="1"/>
    <col min="13" max="13" width="41.5703125" customWidth="1"/>
    <col min="14" max="16362" width="11.42578125" customWidth="1"/>
  </cols>
  <sheetData>
    <row r="1" spans="1:13" ht="18" x14ac:dyDescent="0.25">
      <c r="F1" s="10" t="s">
        <v>25</v>
      </c>
    </row>
    <row r="2" spans="1:13" ht="18" x14ac:dyDescent="0.25">
      <c r="F2" s="10" t="s">
        <v>24</v>
      </c>
    </row>
    <row r="3" spans="1:13" ht="18" x14ac:dyDescent="0.25">
      <c r="F3" s="10" t="s">
        <v>23</v>
      </c>
    </row>
    <row r="4" spans="1:13" ht="18" x14ac:dyDescent="0.25">
      <c r="F4" s="10" t="s">
        <v>22</v>
      </c>
    </row>
    <row r="5" spans="1:13" ht="18" x14ac:dyDescent="0.25">
      <c r="F5" s="10" t="s">
        <v>21</v>
      </c>
    </row>
    <row r="6" spans="1:13" ht="18" x14ac:dyDescent="0.25">
      <c r="E6" s="15"/>
      <c r="F6" s="14" t="s">
        <v>20</v>
      </c>
      <c r="G6" s="16"/>
      <c r="H6" s="16"/>
      <c r="I6" s="16"/>
      <c r="J6" s="16"/>
      <c r="K6" s="16"/>
      <c r="L6" s="16"/>
      <c r="M6" s="16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141</v>
      </c>
      <c r="F8" s="192"/>
      <c r="G8" s="192"/>
      <c r="H8" s="192"/>
      <c r="I8" s="192"/>
      <c r="J8" s="192"/>
      <c r="K8" s="192"/>
      <c r="L8" s="192"/>
      <c r="M8" s="192"/>
    </row>
    <row r="9" spans="1:13" ht="15.75" thickBot="1" x14ac:dyDescent="0.3">
      <c r="I9" s="9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999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3" ht="58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995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3" ht="47.25" customHeight="1" thickTop="1" x14ac:dyDescent="0.25">
      <c r="A12" s="154" t="s">
        <v>665</v>
      </c>
      <c r="B12" s="536">
        <v>200200</v>
      </c>
      <c r="C12" s="526" t="s">
        <v>666</v>
      </c>
      <c r="D12" s="537" t="s">
        <v>667</v>
      </c>
      <c r="E12" s="156" t="s">
        <v>668</v>
      </c>
      <c r="F12" s="244">
        <f>PUB_Calendario!F13</f>
        <v>1044000</v>
      </c>
      <c r="G12" s="166">
        <f>+F12/12</f>
        <v>87000</v>
      </c>
      <c r="H12" s="67">
        <f ca="1">PUB_Calendario!T13</f>
        <v>783000</v>
      </c>
      <c r="I12" s="67">
        <f>PUB_Calendario!T14</f>
        <v>782972.46</v>
      </c>
      <c r="J12" s="67">
        <f ca="1">+I12-H12</f>
        <v>-27.540000000037253</v>
      </c>
      <c r="K12" s="67">
        <f ca="1">+J12/H12*100</f>
        <v>-3.5172413793151023E-3</v>
      </c>
      <c r="L12" s="67">
        <f ca="1">+I12/H12*100</f>
        <v>99.996482758620687</v>
      </c>
      <c r="M12" s="255" t="s">
        <v>978</v>
      </c>
    </row>
    <row r="13" spans="1:13" ht="63.75" customHeight="1" x14ac:dyDescent="0.25">
      <c r="A13" s="159" t="s">
        <v>670</v>
      </c>
      <c r="B13" s="538" t="s">
        <v>671</v>
      </c>
      <c r="C13" s="527" t="s">
        <v>672</v>
      </c>
      <c r="D13" s="539" t="s">
        <v>673</v>
      </c>
      <c r="E13" s="540" t="s">
        <v>674</v>
      </c>
      <c r="F13" s="244">
        <f>PUB_Calendario!F15</f>
        <v>206208</v>
      </c>
      <c r="G13" s="161">
        <f t="shared" ref="G13:G22" si="0">+F13/12</f>
        <v>17184</v>
      </c>
      <c r="H13" s="125">
        <f ca="1">PUB_Calendario!T15</f>
        <v>101807</v>
      </c>
      <c r="I13" s="125">
        <f>PUB_Calendario!T16</f>
        <v>36806.959999999999</v>
      </c>
      <c r="J13" s="125">
        <f ca="1">+I13-H13</f>
        <v>-65000.04</v>
      </c>
      <c r="K13" s="125">
        <f ca="1">+J13/H13*100</f>
        <v>-63.846336695904995</v>
      </c>
      <c r="L13" s="125">
        <f ca="1">+I13/H13*100</f>
        <v>36.153663304095005</v>
      </c>
      <c r="M13" s="255" t="s">
        <v>700</v>
      </c>
    </row>
    <row r="14" spans="1:13" ht="56.25" customHeight="1" x14ac:dyDescent="0.25">
      <c r="A14" s="159" t="s">
        <v>675</v>
      </c>
      <c r="B14" s="538" t="s">
        <v>671</v>
      </c>
      <c r="C14" s="527" t="s">
        <v>676</v>
      </c>
      <c r="D14" s="537" t="s">
        <v>677</v>
      </c>
      <c r="E14" s="156" t="s">
        <v>678</v>
      </c>
      <c r="F14" s="244">
        <f>PUB_Calendario!F17</f>
        <v>323880</v>
      </c>
      <c r="G14" s="166">
        <f t="shared" si="0"/>
        <v>26990</v>
      </c>
      <c r="H14" s="67">
        <f ca="1">PUB_Calendario!T17</f>
        <v>242910.00000000003</v>
      </c>
      <c r="I14" s="67">
        <f>PUB_Calendario!T18</f>
        <v>242900.46000000002</v>
      </c>
      <c r="J14" s="67">
        <f ca="1">+I14-H14</f>
        <v>-9.5400000000081491</v>
      </c>
      <c r="K14" s="67">
        <f t="shared" ref="K14:K22" ca="1" si="1">+J14/H14*100</f>
        <v>-3.9273805113038364E-3</v>
      </c>
      <c r="L14" s="67">
        <f t="shared" ref="L14:L22" ca="1" si="2">+I14/H14*100</f>
        <v>99.9960726194887</v>
      </c>
      <c r="M14" s="255" t="s">
        <v>978</v>
      </c>
    </row>
    <row r="15" spans="1:13" ht="51" customHeight="1" x14ac:dyDescent="0.25">
      <c r="A15" s="159">
        <v>222438</v>
      </c>
      <c r="B15" s="538">
        <v>200200</v>
      </c>
      <c r="C15" s="527" t="s">
        <v>679</v>
      </c>
      <c r="D15" s="537" t="s">
        <v>680</v>
      </c>
      <c r="E15" s="156" t="s">
        <v>681</v>
      </c>
      <c r="F15" s="244">
        <f>PUB_Calendario!F19</f>
        <v>129102</v>
      </c>
      <c r="G15" s="166">
        <f t="shared" si="0"/>
        <v>10758.5</v>
      </c>
      <c r="H15" s="67">
        <f ca="1">PUB_Calendario!T19</f>
        <v>89079</v>
      </c>
      <c r="I15" s="67">
        <f>PUB_Calendario!T20</f>
        <v>85420.08</v>
      </c>
      <c r="J15" s="67">
        <f ca="1">+I15-H15</f>
        <v>-3658.9199999999983</v>
      </c>
      <c r="K15" s="67">
        <f t="shared" ca="1" si="1"/>
        <v>-4.1075000841949265</v>
      </c>
      <c r="L15" s="67">
        <f t="shared" ca="1" si="2"/>
        <v>95.892499915805075</v>
      </c>
      <c r="M15" s="255" t="s">
        <v>979</v>
      </c>
    </row>
    <row r="16" spans="1:13" ht="54" customHeight="1" x14ac:dyDescent="0.25">
      <c r="A16" s="345" t="s">
        <v>682</v>
      </c>
      <c r="B16" s="542" t="s">
        <v>683</v>
      </c>
      <c r="C16" s="528" t="s">
        <v>684</v>
      </c>
      <c r="D16" s="537" t="s">
        <v>701</v>
      </c>
      <c r="E16" s="156" t="s">
        <v>578</v>
      </c>
      <c r="F16" s="244">
        <f>PUB_Calendario!F21</f>
        <v>278400</v>
      </c>
      <c r="G16" s="166">
        <f t="shared" si="0"/>
        <v>23200</v>
      </c>
      <c r="H16" s="67">
        <f ca="1">PUB_Calendario!T21</f>
        <v>208800</v>
      </c>
      <c r="I16" s="67">
        <f>PUB_Calendario!T22</f>
        <v>208799.90999999997</v>
      </c>
      <c r="J16" s="67">
        <f ca="1">+I16-H16</f>
        <v>-9.0000000025611371E-2</v>
      </c>
      <c r="K16" s="67">
        <f t="shared" ca="1" si="1"/>
        <v>-4.3103448288128051E-5</v>
      </c>
      <c r="L16" s="67">
        <f t="shared" ca="1" si="2"/>
        <v>99.999956896551708</v>
      </c>
      <c r="M16" s="255" t="s">
        <v>973</v>
      </c>
    </row>
    <row r="17" spans="1:13" ht="74.25" customHeight="1" x14ac:dyDescent="0.25">
      <c r="A17" s="159" t="s">
        <v>686</v>
      </c>
      <c r="B17" s="538" t="s">
        <v>568</v>
      </c>
      <c r="C17" s="527" t="s">
        <v>687</v>
      </c>
      <c r="D17" s="537" t="s">
        <v>688</v>
      </c>
      <c r="E17" s="156" t="s">
        <v>689</v>
      </c>
      <c r="F17" s="244">
        <f>PUB_Calendario!F23</f>
        <v>343092</v>
      </c>
      <c r="G17" s="166">
        <f t="shared" si="0"/>
        <v>28591</v>
      </c>
      <c r="H17" s="67">
        <f ca="1">PUB_Calendario!T23</f>
        <v>257319.00000000003</v>
      </c>
      <c r="I17" s="67">
        <f>PUB_Calendario!T24</f>
        <v>257315.14000000004</v>
      </c>
      <c r="J17" s="67">
        <f t="shared" ref="J17:J22" ca="1" si="3">H17-I17</f>
        <v>3.8599999999860302</v>
      </c>
      <c r="K17" s="67">
        <f t="shared" ca="1" si="1"/>
        <v>1.5000835538712765E-3</v>
      </c>
      <c r="L17" s="67">
        <f t="shared" ca="1" si="2"/>
        <v>99.998499916446121</v>
      </c>
      <c r="M17" s="255" t="s">
        <v>973</v>
      </c>
    </row>
    <row r="18" spans="1:13" ht="44.25" customHeight="1" x14ac:dyDescent="0.25">
      <c r="A18" s="159" t="s">
        <v>690</v>
      </c>
      <c r="B18" s="538" t="s">
        <v>568</v>
      </c>
      <c r="C18" s="527" t="s">
        <v>691</v>
      </c>
      <c r="D18" s="537" t="s">
        <v>692</v>
      </c>
      <c r="E18" s="156" t="s">
        <v>689</v>
      </c>
      <c r="F18" s="244">
        <f>PUB_Calendario!F25</f>
        <v>696000</v>
      </c>
      <c r="G18" s="166">
        <f t="shared" si="0"/>
        <v>58000</v>
      </c>
      <c r="H18" s="67">
        <f ca="1">PUB_Calendario!T25</f>
        <v>522000.00000000006</v>
      </c>
      <c r="I18" s="67">
        <f>PUB_Calendario!T26</f>
        <v>521981.64000000007</v>
      </c>
      <c r="J18" s="67">
        <f t="shared" ca="1" si="3"/>
        <v>18.35999999998603</v>
      </c>
      <c r="K18" s="67">
        <f t="shared" ca="1" si="1"/>
        <v>3.5172413793076681E-3</v>
      </c>
      <c r="L18" s="67">
        <f t="shared" ca="1" si="2"/>
        <v>99.996482758620701</v>
      </c>
      <c r="M18" s="255" t="s">
        <v>973</v>
      </c>
    </row>
    <row r="19" spans="1:13" ht="47.25" customHeight="1" x14ac:dyDescent="0.25">
      <c r="A19" s="313" t="s">
        <v>693</v>
      </c>
      <c r="B19" s="538" t="s">
        <v>694</v>
      </c>
      <c r="C19" s="529" t="s">
        <v>666</v>
      </c>
      <c r="D19" s="537" t="s">
        <v>695</v>
      </c>
      <c r="E19" s="156" t="s">
        <v>239</v>
      </c>
      <c r="F19" s="244">
        <f>PUB_Calendario!F27</f>
        <v>594636</v>
      </c>
      <c r="G19" s="166">
        <v>49552.11</v>
      </c>
      <c r="H19" s="67">
        <f ca="1">PUB_Calendario!T27</f>
        <v>445977.00000000006</v>
      </c>
      <c r="I19" s="67">
        <f>PUB_Calendario!T28</f>
        <v>445952.84000000008</v>
      </c>
      <c r="J19" s="67">
        <f t="shared" ca="1" si="3"/>
        <v>24.159999999974389</v>
      </c>
      <c r="K19" s="67">
        <f t="shared" ca="1" si="1"/>
        <v>5.4173197272447647E-3</v>
      </c>
      <c r="L19" s="67">
        <f t="shared" ca="1" si="2"/>
        <v>99.994582680272757</v>
      </c>
      <c r="M19" s="255" t="s">
        <v>973</v>
      </c>
    </row>
    <row r="20" spans="1:13" ht="60" customHeight="1" x14ac:dyDescent="0.25">
      <c r="A20" s="444" t="s">
        <v>696</v>
      </c>
      <c r="B20" s="543" t="s">
        <v>697</v>
      </c>
      <c r="C20" s="530" t="s">
        <v>666</v>
      </c>
      <c r="D20" s="537" t="s">
        <v>698</v>
      </c>
      <c r="E20" s="156" t="s">
        <v>196</v>
      </c>
      <c r="F20" s="244">
        <f>PUB_Calendario!F29</f>
        <v>875052</v>
      </c>
      <c r="G20" s="166">
        <f t="shared" si="0"/>
        <v>72921</v>
      </c>
      <c r="H20" s="67">
        <f ca="1">PUB_Calendario!T29</f>
        <v>656289</v>
      </c>
      <c r="I20" s="67">
        <f>PUB_Calendario!T30</f>
        <v>565761.60000000009</v>
      </c>
      <c r="J20" s="67">
        <f t="shared" ca="1" si="3"/>
        <v>90527.399999999907</v>
      </c>
      <c r="K20" s="67">
        <f t="shared" ca="1" si="1"/>
        <v>13.793831680860094</v>
      </c>
      <c r="L20" s="67">
        <f t="shared" ca="1" si="2"/>
        <v>86.206168319139906</v>
      </c>
      <c r="M20" s="255" t="s">
        <v>700</v>
      </c>
    </row>
    <row r="21" spans="1:13" ht="60" customHeight="1" thickBot="1" x14ac:dyDescent="0.3">
      <c r="A21" s="507">
        <v>229001</v>
      </c>
      <c r="B21" s="544" t="s">
        <v>37</v>
      </c>
      <c r="C21" s="531" t="s">
        <v>666</v>
      </c>
      <c r="D21" s="545" t="s">
        <v>699</v>
      </c>
      <c r="E21" s="374" t="s">
        <v>255</v>
      </c>
      <c r="F21" s="244">
        <f>PUB_Calendario!F31</f>
        <v>90480</v>
      </c>
      <c r="G21" s="303">
        <f>F21/12</f>
        <v>7540</v>
      </c>
      <c r="H21" s="68">
        <f ca="1">PUB_Calendario!T31</f>
        <v>90480</v>
      </c>
      <c r="I21" s="68">
        <f>PUB_Calendario!T32</f>
        <v>90479.88</v>
      </c>
      <c r="J21" s="68">
        <f t="shared" ca="1" si="3"/>
        <v>0.11999999999534339</v>
      </c>
      <c r="K21" s="68">
        <f t="shared" ca="1" si="1"/>
        <v>1.3262599468981365E-4</v>
      </c>
      <c r="L21" s="68">
        <f t="shared" ca="1" si="2"/>
        <v>99.999867374005319</v>
      </c>
      <c r="M21" s="547" t="s">
        <v>702</v>
      </c>
    </row>
    <row r="22" spans="1:13" ht="20.25" customHeight="1" thickBot="1" x14ac:dyDescent="0.3">
      <c r="A22" s="4"/>
      <c r="B22" s="40">
        <v>10</v>
      </c>
      <c r="C22" s="24">
        <f>COUNT(#REF!)</f>
        <v>0</v>
      </c>
      <c r="D22" s="7"/>
      <c r="E22" s="6"/>
      <c r="F22" s="548">
        <f>SUM(F12:F21)</f>
        <v>4580850</v>
      </c>
      <c r="G22" s="549">
        <f t="shared" si="0"/>
        <v>381737.5</v>
      </c>
      <c r="H22" s="550">
        <f ca="1">SUM(H12:H21)</f>
        <v>3397661</v>
      </c>
      <c r="I22" s="550">
        <f>SUM(I12:I21)</f>
        <v>3238390.97</v>
      </c>
      <c r="J22" s="551">
        <f t="shared" ca="1" si="3"/>
        <v>159270.0299999998</v>
      </c>
      <c r="K22" s="390">
        <f t="shared" ca="1" si="1"/>
        <v>4.6876374658919708</v>
      </c>
      <c r="L22" s="88">
        <f t="shared" ca="1" si="2"/>
        <v>95.312362534108033</v>
      </c>
      <c r="M22" s="552"/>
    </row>
    <row r="23" spans="1:13" x14ac:dyDescent="0.25">
      <c r="F23" s="9"/>
      <c r="G23" s="299"/>
    </row>
    <row r="24" spans="1:13" x14ac:dyDescent="0.25">
      <c r="F24" s="9"/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4" fitToHeight="21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view="pageBreakPreview" zoomScale="85" zoomScaleNormal="100" zoomScaleSheetLayoutView="85" zoomScalePageLayoutView="80" workbookViewId="0">
      <pane xSplit="6" ySplit="12" topLeftCell="G24" activePane="bottomRight" state="frozen"/>
      <selection pane="topRight" activeCell="G1" sqref="G1"/>
      <selection pane="bottomLeft" activeCell="A12" sqref="A12"/>
      <selection pane="bottomRight" activeCell="K39" sqref="K39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141</v>
      </c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9"/>
    </row>
    <row r="9" spans="1:21" ht="18.75" thickBot="1" x14ac:dyDescent="0.3">
      <c r="D9" s="39"/>
      <c r="E9" s="10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77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77"/>
      <c r="U12" s="877"/>
    </row>
    <row r="13" spans="1:21" ht="29.25" customHeight="1" thickTop="1" thickBot="1" x14ac:dyDescent="0.3">
      <c r="A13" s="308">
        <v>200200</v>
      </c>
      <c r="B13" s="154">
        <v>222403</v>
      </c>
      <c r="C13" s="526" t="s">
        <v>666</v>
      </c>
      <c r="D13" s="873" t="s">
        <v>667</v>
      </c>
      <c r="E13" s="873" t="s">
        <v>668</v>
      </c>
      <c r="F13" s="954">
        <f>SUM(H13:S13)</f>
        <v>1044000</v>
      </c>
      <c r="G13" s="244" t="s">
        <v>52</v>
      </c>
      <c r="H13" s="244"/>
      <c r="I13" s="166">
        <f t="shared" ref="I13:S13" si="0">VLOOKUP($A13&amp;$B13&amp;I$10,Base,8,FALSE)</f>
        <v>0</v>
      </c>
      <c r="J13" s="166">
        <f t="shared" si="0"/>
        <v>173993.88</v>
      </c>
      <c r="K13" s="166">
        <f t="shared" si="0"/>
        <v>86996.94</v>
      </c>
      <c r="L13" s="166">
        <f t="shared" si="0"/>
        <v>86996.94</v>
      </c>
      <c r="M13" s="166">
        <f t="shared" si="0"/>
        <v>86996.94</v>
      </c>
      <c r="N13" s="166">
        <f t="shared" si="0"/>
        <v>86996.94</v>
      </c>
      <c r="O13" s="166">
        <f t="shared" si="0"/>
        <v>86996.94</v>
      </c>
      <c r="P13" s="166">
        <f t="shared" si="0"/>
        <v>86996.94</v>
      </c>
      <c r="Q13" s="166">
        <f t="shared" si="0"/>
        <v>87024.48</v>
      </c>
      <c r="R13" s="166">
        <f t="shared" si="0"/>
        <v>87000</v>
      </c>
      <c r="S13" s="166">
        <f t="shared" si="0"/>
        <v>174000</v>
      </c>
      <c r="T13" s="329">
        <f ca="1">SUM($H13:(OFFSET($H13,0,AVANCE060826!$T$2)))</f>
        <v>783000</v>
      </c>
      <c r="U13" s="903" t="s">
        <v>669</v>
      </c>
    </row>
    <row r="14" spans="1:21" ht="29.25" customHeight="1" thickTop="1" x14ac:dyDescent="0.25">
      <c r="A14" s="308">
        <v>200200</v>
      </c>
      <c r="B14" s="154">
        <v>222403</v>
      </c>
      <c r="C14" s="526"/>
      <c r="D14" s="873"/>
      <c r="E14" s="873"/>
      <c r="F14" s="954"/>
      <c r="G14" s="244" t="s">
        <v>53</v>
      </c>
      <c r="H14" s="244"/>
      <c r="I14" s="244">
        <f t="shared" ref="I14:S14" si="1">VLOOKUP($A14&amp;$B14&amp;I$10,Base,9,FALSE)</f>
        <v>0</v>
      </c>
      <c r="J14" s="244">
        <f t="shared" si="1"/>
        <v>173993.88</v>
      </c>
      <c r="K14" s="244">
        <f t="shared" si="1"/>
        <v>86996.94</v>
      </c>
      <c r="L14" s="244">
        <f t="shared" si="1"/>
        <v>86996.94</v>
      </c>
      <c r="M14" s="244">
        <f t="shared" si="1"/>
        <v>86996.94</v>
      </c>
      <c r="N14" s="244">
        <f t="shared" si="1"/>
        <v>86996.94</v>
      </c>
      <c r="O14" s="244">
        <f t="shared" si="1"/>
        <v>86996.94</v>
      </c>
      <c r="P14" s="244">
        <f t="shared" si="1"/>
        <v>86996.94</v>
      </c>
      <c r="Q14" s="244">
        <f t="shared" si="1"/>
        <v>86996.94</v>
      </c>
      <c r="R14" s="244">
        <f t="shared" si="1"/>
        <v>0</v>
      </c>
      <c r="S14" s="244">
        <f t="shared" si="1"/>
        <v>0</v>
      </c>
      <c r="T14" s="329">
        <f t="shared" ref="T14:T33" si="2">SUM(H14:S14)</f>
        <v>782972.46</v>
      </c>
      <c r="U14" s="903"/>
    </row>
    <row r="15" spans="1:21" ht="29.25" customHeight="1" x14ac:dyDescent="0.25">
      <c r="A15" s="600">
        <v>200200</v>
      </c>
      <c r="B15" s="159">
        <v>222423</v>
      </c>
      <c r="C15" s="527" t="s">
        <v>672</v>
      </c>
      <c r="D15" s="873" t="s">
        <v>673</v>
      </c>
      <c r="E15" s="873" t="s">
        <v>674</v>
      </c>
      <c r="F15" s="954">
        <f>SUM(H15:S15)</f>
        <v>206208</v>
      </c>
      <c r="G15" s="244" t="s">
        <v>52</v>
      </c>
      <c r="H15" s="244"/>
      <c r="I15" s="166">
        <f t="shared" ref="I15:S15" si="3">VLOOKUP($A15&amp;$B15&amp;I$10,Base,8,FALSE)</f>
        <v>4600.87</v>
      </c>
      <c r="J15" s="166">
        <f t="shared" si="3"/>
        <v>4600.87</v>
      </c>
      <c r="K15" s="166">
        <f t="shared" si="3"/>
        <v>4600.87</v>
      </c>
      <c r="L15" s="166">
        <f t="shared" si="3"/>
        <v>4600.87</v>
      </c>
      <c r="M15" s="166">
        <f t="shared" si="3"/>
        <v>4600.87</v>
      </c>
      <c r="N15" s="166">
        <f t="shared" si="3"/>
        <v>4600.87</v>
      </c>
      <c r="O15" s="166">
        <f t="shared" si="3"/>
        <v>4600.87</v>
      </c>
      <c r="P15" s="166">
        <f t="shared" si="3"/>
        <v>4600.87</v>
      </c>
      <c r="Q15" s="166">
        <f t="shared" si="3"/>
        <v>65000.04</v>
      </c>
      <c r="R15" s="166">
        <f t="shared" si="3"/>
        <v>34800</v>
      </c>
      <c r="S15" s="166">
        <f t="shared" si="3"/>
        <v>69601</v>
      </c>
      <c r="T15" s="329">
        <f ca="1">SUM($H15:(OFFSET($H15,0,AVANCE060826!$T$2)))</f>
        <v>101807</v>
      </c>
      <c r="U15" s="903" t="s">
        <v>669</v>
      </c>
    </row>
    <row r="16" spans="1:21" ht="29.25" customHeight="1" x14ac:dyDescent="0.25">
      <c r="A16" s="600">
        <v>200200</v>
      </c>
      <c r="B16" s="159">
        <v>222423</v>
      </c>
      <c r="C16" s="527"/>
      <c r="D16" s="873"/>
      <c r="E16" s="873"/>
      <c r="F16" s="954"/>
      <c r="G16" s="244" t="s">
        <v>53</v>
      </c>
      <c r="H16" s="244"/>
      <c r="I16" s="244">
        <f t="shared" ref="I16:S16" si="4">VLOOKUP($A16&amp;$B16&amp;I$10,Base,9,FALSE)</f>
        <v>4600.87</v>
      </c>
      <c r="J16" s="244">
        <f t="shared" si="4"/>
        <v>4600.87</v>
      </c>
      <c r="K16" s="244">
        <f t="shared" si="4"/>
        <v>4600.87</v>
      </c>
      <c r="L16" s="244">
        <f t="shared" si="4"/>
        <v>4600.87</v>
      </c>
      <c r="M16" s="244">
        <f t="shared" si="4"/>
        <v>4600.87</v>
      </c>
      <c r="N16" s="244">
        <f t="shared" si="4"/>
        <v>4600.87</v>
      </c>
      <c r="O16" s="244">
        <f t="shared" si="4"/>
        <v>4600.87</v>
      </c>
      <c r="P16" s="244">
        <f t="shared" si="4"/>
        <v>4600.87</v>
      </c>
      <c r="Q16" s="244">
        <f t="shared" si="4"/>
        <v>0</v>
      </c>
      <c r="R16" s="244">
        <f t="shared" si="4"/>
        <v>0</v>
      </c>
      <c r="S16" s="244">
        <f t="shared" si="4"/>
        <v>0</v>
      </c>
      <c r="T16" s="329">
        <f t="shared" si="2"/>
        <v>36806.959999999999</v>
      </c>
      <c r="U16" s="903"/>
    </row>
    <row r="17" spans="1:21" ht="40.5" customHeight="1" x14ac:dyDescent="0.25">
      <c r="A17" s="600">
        <v>200200</v>
      </c>
      <c r="B17" s="159">
        <v>222428</v>
      </c>
      <c r="C17" s="527" t="s">
        <v>676</v>
      </c>
      <c r="D17" s="873" t="s">
        <v>677</v>
      </c>
      <c r="E17" s="873" t="s">
        <v>678</v>
      </c>
      <c r="F17" s="954">
        <f>SUM(H17:S17)</f>
        <v>323880</v>
      </c>
      <c r="G17" s="244" t="s">
        <v>52</v>
      </c>
      <c r="H17" s="244"/>
      <c r="I17" s="166">
        <f t="shared" ref="I17:S17" si="5">VLOOKUP($A17&amp;$B17&amp;I$10,Base,8,FALSE)</f>
        <v>26988.94</v>
      </c>
      <c r="J17" s="166">
        <f t="shared" si="5"/>
        <v>26988.94</v>
      </c>
      <c r="K17" s="166">
        <f t="shared" si="5"/>
        <v>0</v>
      </c>
      <c r="L17" s="166">
        <f t="shared" si="5"/>
        <v>0</v>
      </c>
      <c r="M17" s="166">
        <f t="shared" si="5"/>
        <v>80966.820000000007</v>
      </c>
      <c r="N17" s="166">
        <f t="shared" si="5"/>
        <v>26988.94</v>
      </c>
      <c r="O17" s="166">
        <f t="shared" si="5"/>
        <v>26988.94</v>
      </c>
      <c r="P17" s="166">
        <f t="shared" si="5"/>
        <v>26988.94</v>
      </c>
      <c r="Q17" s="166">
        <f t="shared" si="5"/>
        <v>26998.48</v>
      </c>
      <c r="R17" s="166">
        <f t="shared" si="5"/>
        <v>26990</v>
      </c>
      <c r="S17" s="166">
        <f t="shared" si="5"/>
        <v>53980</v>
      </c>
      <c r="T17" s="329">
        <f ca="1">SUM($H17:(OFFSET($H17,0,AVANCE060826!$T$2)))</f>
        <v>242910.00000000003</v>
      </c>
      <c r="U17" s="903" t="s">
        <v>669</v>
      </c>
    </row>
    <row r="18" spans="1:21" ht="29.25" customHeight="1" x14ac:dyDescent="0.25">
      <c r="A18" s="600">
        <v>200200</v>
      </c>
      <c r="B18" s="159">
        <v>222428</v>
      </c>
      <c r="C18" s="527"/>
      <c r="D18" s="873"/>
      <c r="E18" s="873"/>
      <c r="F18" s="954"/>
      <c r="G18" s="244" t="s">
        <v>53</v>
      </c>
      <c r="H18" s="244"/>
      <c r="I18" s="244">
        <f t="shared" ref="I18:S18" si="6">VLOOKUP($A18&amp;$B18&amp;I$10,Base,9,FALSE)</f>
        <v>26988.94</v>
      </c>
      <c r="J18" s="244">
        <f t="shared" si="6"/>
        <v>26988.94</v>
      </c>
      <c r="K18" s="244">
        <f t="shared" si="6"/>
        <v>0</v>
      </c>
      <c r="L18" s="244">
        <f t="shared" si="6"/>
        <v>0</v>
      </c>
      <c r="M18" s="244">
        <f t="shared" si="6"/>
        <v>80966.820000000007</v>
      </c>
      <c r="N18" s="244">
        <f t="shared" si="6"/>
        <v>26988.94</v>
      </c>
      <c r="O18" s="244">
        <f t="shared" si="6"/>
        <v>26988.94</v>
      </c>
      <c r="P18" s="244">
        <f t="shared" si="6"/>
        <v>26988.94</v>
      </c>
      <c r="Q18" s="244">
        <f t="shared" si="6"/>
        <v>26988.94</v>
      </c>
      <c r="R18" s="244">
        <f t="shared" si="6"/>
        <v>0</v>
      </c>
      <c r="S18" s="244">
        <f t="shared" si="6"/>
        <v>0</v>
      </c>
      <c r="T18" s="329">
        <f t="shared" si="2"/>
        <v>242900.46000000002</v>
      </c>
      <c r="U18" s="903"/>
    </row>
    <row r="19" spans="1:21" ht="29.25" customHeight="1" x14ac:dyDescent="0.25">
      <c r="A19" s="311">
        <v>200200</v>
      </c>
      <c r="B19" s="159">
        <v>222438</v>
      </c>
      <c r="C19" s="527" t="s">
        <v>679</v>
      </c>
      <c r="D19" s="873" t="s">
        <v>680</v>
      </c>
      <c r="E19" s="873" t="s">
        <v>681</v>
      </c>
      <c r="F19" s="954">
        <f>SUM(H19:S19)</f>
        <v>129102</v>
      </c>
      <c r="G19" s="244" t="s">
        <v>52</v>
      </c>
      <c r="H19" s="244"/>
      <c r="I19" s="166">
        <f t="shared" ref="I19:S19" si="7">VLOOKUP($A19&amp;$B19&amp;I$10,Base,8,FALSE)</f>
        <v>0</v>
      </c>
      <c r="J19" s="166">
        <f t="shared" si="7"/>
        <v>0</v>
      </c>
      <c r="K19" s="166">
        <f t="shared" si="7"/>
        <v>0</v>
      </c>
      <c r="L19" s="166">
        <f t="shared" si="7"/>
        <v>0</v>
      </c>
      <c r="M19" s="166">
        <f t="shared" si="7"/>
        <v>0</v>
      </c>
      <c r="N19" s="166">
        <f t="shared" si="7"/>
        <v>0</v>
      </c>
      <c r="O19" s="166">
        <f t="shared" si="7"/>
        <v>0</v>
      </c>
      <c r="P19" s="166">
        <f t="shared" si="7"/>
        <v>45400.08</v>
      </c>
      <c r="Q19" s="166">
        <f t="shared" si="7"/>
        <v>43678.92</v>
      </c>
      <c r="R19" s="166">
        <f t="shared" si="7"/>
        <v>13341</v>
      </c>
      <c r="S19" s="166">
        <f t="shared" si="7"/>
        <v>26682</v>
      </c>
      <c r="T19" s="329">
        <f ca="1">SUM($H19:(OFFSET($H19,0,AVANCE060826!$T$2)))</f>
        <v>89079</v>
      </c>
      <c r="U19" s="903" t="s">
        <v>669</v>
      </c>
    </row>
    <row r="20" spans="1:21" ht="29.25" customHeight="1" x14ac:dyDescent="0.25">
      <c r="A20" s="311">
        <v>200200</v>
      </c>
      <c r="B20" s="159">
        <v>222438</v>
      </c>
      <c r="C20" s="527"/>
      <c r="D20" s="873"/>
      <c r="E20" s="873"/>
      <c r="F20" s="954"/>
      <c r="G20" s="244" t="s">
        <v>53</v>
      </c>
      <c r="H20" s="244"/>
      <c r="I20" s="244">
        <f t="shared" ref="I20:S20" si="8">VLOOKUP($A20&amp;$B20&amp;I$10,Base,9,FALSE)</f>
        <v>0</v>
      </c>
      <c r="J20" s="244">
        <f t="shared" si="8"/>
        <v>0</v>
      </c>
      <c r="K20" s="244">
        <f t="shared" si="8"/>
        <v>0</v>
      </c>
      <c r="L20" s="244">
        <f t="shared" si="8"/>
        <v>0</v>
      </c>
      <c r="M20" s="244">
        <f t="shared" si="8"/>
        <v>0</v>
      </c>
      <c r="N20" s="244">
        <f t="shared" si="8"/>
        <v>0</v>
      </c>
      <c r="O20" s="244">
        <f t="shared" si="8"/>
        <v>0</v>
      </c>
      <c r="P20" s="244">
        <f t="shared" si="8"/>
        <v>45400.08</v>
      </c>
      <c r="Q20" s="244">
        <f t="shared" si="8"/>
        <v>40020</v>
      </c>
      <c r="R20" s="244">
        <f t="shared" si="8"/>
        <v>0</v>
      </c>
      <c r="S20" s="244">
        <f t="shared" si="8"/>
        <v>0</v>
      </c>
      <c r="T20" s="329">
        <f t="shared" si="2"/>
        <v>85420.08</v>
      </c>
      <c r="U20" s="903"/>
    </row>
    <row r="21" spans="1:21" ht="29.25" customHeight="1" x14ac:dyDescent="0.25">
      <c r="A21" s="607">
        <v>310203</v>
      </c>
      <c r="B21" s="345">
        <v>225301</v>
      </c>
      <c r="C21" s="528" t="s">
        <v>684</v>
      </c>
      <c r="D21" s="873" t="s">
        <v>685</v>
      </c>
      <c r="E21" s="873" t="s">
        <v>578</v>
      </c>
      <c r="F21" s="954">
        <f>SUM(H21:S21)</f>
        <v>278400</v>
      </c>
      <c r="G21" s="244" t="s">
        <v>52</v>
      </c>
      <c r="H21" s="244"/>
      <c r="I21" s="166">
        <f t="shared" ref="I21:S21" si="9">VLOOKUP($A21&amp;$B21&amp;I$10,Base,8,FALSE)</f>
        <v>0</v>
      </c>
      <c r="J21" s="166">
        <f t="shared" si="9"/>
        <v>46399.98</v>
      </c>
      <c r="K21" s="166">
        <f t="shared" si="9"/>
        <v>23199.99</v>
      </c>
      <c r="L21" s="166">
        <f t="shared" si="9"/>
        <v>23199.99</v>
      </c>
      <c r="M21" s="166">
        <f t="shared" si="9"/>
        <v>23199.99</v>
      </c>
      <c r="N21" s="166">
        <f t="shared" si="9"/>
        <v>23199.99</v>
      </c>
      <c r="O21" s="166">
        <f t="shared" si="9"/>
        <v>23199.99</v>
      </c>
      <c r="P21" s="166">
        <f t="shared" si="9"/>
        <v>23199.99</v>
      </c>
      <c r="Q21" s="166">
        <f t="shared" si="9"/>
        <v>23200.080000000002</v>
      </c>
      <c r="R21" s="166">
        <f t="shared" si="9"/>
        <v>23200</v>
      </c>
      <c r="S21" s="166">
        <f t="shared" si="9"/>
        <v>46400</v>
      </c>
      <c r="T21" s="329">
        <f ca="1">SUM($H21:(OFFSET($H21,0,AVANCE060826!$T$2)))</f>
        <v>208800</v>
      </c>
      <c r="U21" s="903" t="s">
        <v>669</v>
      </c>
    </row>
    <row r="22" spans="1:21" ht="29.25" customHeight="1" x14ac:dyDescent="0.25">
      <c r="A22" s="607">
        <v>310203</v>
      </c>
      <c r="B22" s="345">
        <v>225301</v>
      </c>
      <c r="C22" s="528"/>
      <c r="D22" s="873"/>
      <c r="E22" s="873"/>
      <c r="F22" s="954"/>
      <c r="G22" s="244" t="s">
        <v>53</v>
      </c>
      <c r="H22" s="244"/>
      <c r="I22" s="244">
        <f t="shared" ref="I22:S22" si="10">VLOOKUP($A22&amp;$B22&amp;I$10,Base,9,FALSE)</f>
        <v>0</v>
      </c>
      <c r="J22" s="244">
        <f t="shared" si="10"/>
        <v>46399.98</v>
      </c>
      <c r="K22" s="244">
        <f t="shared" si="10"/>
        <v>23199.99</v>
      </c>
      <c r="L22" s="244">
        <f t="shared" si="10"/>
        <v>23199.99</v>
      </c>
      <c r="M22" s="244">
        <f t="shared" si="10"/>
        <v>23199.99</v>
      </c>
      <c r="N22" s="244">
        <f t="shared" si="10"/>
        <v>23199.99</v>
      </c>
      <c r="O22" s="244">
        <f t="shared" si="10"/>
        <v>23199.99</v>
      </c>
      <c r="P22" s="244">
        <f t="shared" si="10"/>
        <v>23199.99</v>
      </c>
      <c r="Q22" s="244">
        <f t="shared" si="10"/>
        <v>23199.99</v>
      </c>
      <c r="R22" s="244">
        <f t="shared" si="10"/>
        <v>0</v>
      </c>
      <c r="S22" s="244">
        <f t="shared" si="10"/>
        <v>0</v>
      </c>
      <c r="T22" s="329">
        <f t="shared" si="2"/>
        <v>208799.90999999997</v>
      </c>
      <c r="U22" s="903"/>
    </row>
    <row r="23" spans="1:21" ht="39.75" customHeight="1" x14ac:dyDescent="0.25">
      <c r="A23" s="600">
        <v>900110</v>
      </c>
      <c r="B23" s="159">
        <v>229104</v>
      </c>
      <c r="C23" s="527" t="s">
        <v>687</v>
      </c>
      <c r="D23" s="873" t="s">
        <v>688</v>
      </c>
      <c r="E23" s="873" t="s">
        <v>689</v>
      </c>
      <c r="F23" s="954">
        <f>SUM(H23:S23)</f>
        <v>343092</v>
      </c>
      <c r="G23" s="244" t="s">
        <v>52</v>
      </c>
      <c r="H23" s="244"/>
      <c r="I23" s="166">
        <f t="shared" ref="I23:S23" si="11">VLOOKUP($A23&amp;$B23&amp;I$10,Base,8,FALSE)</f>
        <v>0</v>
      </c>
      <c r="J23" s="166">
        <f t="shared" si="11"/>
        <v>57181.15</v>
      </c>
      <c r="K23" s="166">
        <f t="shared" si="11"/>
        <v>28590.57</v>
      </c>
      <c r="L23" s="166">
        <f t="shared" si="11"/>
        <v>28590.57</v>
      </c>
      <c r="M23" s="166">
        <f t="shared" si="11"/>
        <v>28590.57</v>
      </c>
      <c r="N23" s="166">
        <f t="shared" si="11"/>
        <v>28590.57</v>
      </c>
      <c r="O23" s="166">
        <f t="shared" si="11"/>
        <v>28590.57</v>
      </c>
      <c r="P23" s="166">
        <f t="shared" si="11"/>
        <v>28590.57</v>
      </c>
      <c r="Q23" s="166">
        <f t="shared" si="11"/>
        <v>28594.43</v>
      </c>
      <c r="R23" s="166">
        <f t="shared" si="11"/>
        <v>28591</v>
      </c>
      <c r="S23" s="166">
        <f t="shared" si="11"/>
        <v>57182</v>
      </c>
      <c r="T23" s="329">
        <f ca="1">SUM($H23:(OFFSET($H23,0,AVANCE060826!$T$2)))</f>
        <v>257319.00000000003</v>
      </c>
      <c r="U23" s="903" t="s">
        <v>669</v>
      </c>
    </row>
    <row r="24" spans="1:21" ht="39.75" customHeight="1" x14ac:dyDescent="0.25">
      <c r="A24" s="600">
        <v>900110</v>
      </c>
      <c r="B24" s="159">
        <v>229104</v>
      </c>
      <c r="C24" s="527"/>
      <c r="D24" s="873"/>
      <c r="E24" s="873"/>
      <c r="F24" s="954"/>
      <c r="G24" s="244" t="s">
        <v>53</v>
      </c>
      <c r="H24" s="244"/>
      <c r="I24" s="244">
        <f t="shared" ref="I24:S24" si="12">VLOOKUP($A24&amp;$B24&amp;I$10,Base,9,FALSE)</f>
        <v>0</v>
      </c>
      <c r="J24" s="244">
        <f t="shared" si="12"/>
        <v>57181.15</v>
      </c>
      <c r="K24" s="244">
        <f t="shared" si="12"/>
        <v>28590.57</v>
      </c>
      <c r="L24" s="244">
        <f t="shared" si="12"/>
        <v>28590.57</v>
      </c>
      <c r="M24" s="244">
        <f t="shared" si="12"/>
        <v>28590.57</v>
      </c>
      <c r="N24" s="244">
        <f t="shared" si="12"/>
        <v>28590.57</v>
      </c>
      <c r="O24" s="244">
        <f t="shared" si="12"/>
        <v>28590.57</v>
      </c>
      <c r="P24" s="244">
        <f t="shared" si="12"/>
        <v>28590.57</v>
      </c>
      <c r="Q24" s="244">
        <f t="shared" si="12"/>
        <v>28590.57</v>
      </c>
      <c r="R24" s="244">
        <f t="shared" si="12"/>
        <v>0</v>
      </c>
      <c r="S24" s="244">
        <f t="shared" si="12"/>
        <v>0</v>
      </c>
      <c r="T24" s="329">
        <f t="shared" si="2"/>
        <v>257315.14000000004</v>
      </c>
      <c r="U24" s="903"/>
    </row>
    <row r="25" spans="1:21" ht="29.25" customHeight="1" x14ac:dyDescent="0.25">
      <c r="A25" s="600">
        <v>900110</v>
      </c>
      <c r="B25" s="159">
        <v>229103</v>
      </c>
      <c r="C25" s="527" t="s">
        <v>691</v>
      </c>
      <c r="D25" s="873" t="s">
        <v>692</v>
      </c>
      <c r="E25" s="873" t="s">
        <v>689</v>
      </c>
      <c r="F25" s="954">
        <f>SUM(H25:S25)</f>
        <v>696000</v>
      </c>
      <c r="G25" s="244" t="s">
        <v>52</v>
      </c>
      <c r="H25" s="244"/>
      <c r="I25" s="166">
        <f t="shared" ref="I25:S25" si="13">VLOOKUP($A25&amp;$B25&amp;I$10,Base,8,FALSE)</f>
        <v>0</v>
      </c>
      <c r="J25" s="166">
        <f t="shared" si="13"/>
        <v>115995.92</v>
      </c>
      <c r="K25" s="166">
        <f t="shared" si="13"/>
        <v>57997.96</v>
      </c>
      <c r="L25" s="166">
        <f t="shared" si="13"/>
        <v>57997.96</v>
      </c>
      <c r="M25" s="166">
        <f t="shared" si="13"/>
        <v>57997.96</v>
      </c>
      <c r="N25" s="166">
        <f t="shared" si="13"/>
        <v>57997.96</v>
      </c>
      <c r="O25" s="166">
        <f t="shared" si="13"/>
        <v>57997.96</v>
      </c>
      <c r="P25" s="166">
        <f t="shared" si="13"/>
        <v>57997.96</v>
      </c>
      <c r="Q25" s="166">
        <f t="shared" si="13"/>
        <v>58016.32</v>
      </c>
      <c r="R25" s="166">
        <f t="shared" si="13"/>
        <v>58000</v>
      </c>
      <c r="S25" s="166">
        <f t="shared" si="13"/>
        <v>116000</v>
      </c>
      <c r="T25" s="329">
        <f ca="1">SUM($H25:(OFFSET($H25,0,AVANCE060826!$T$2)))</f>
        <v>522000.00000000006</v>
      </c>
      <c r="U25" s="903" t="s">
        <v>669</v>
      </c>
    </row>
    <row r="26" spans="1:21" ht="29.25" customHeight="1" x14ac:dyDescent="0.25">
      <c r="A26" s="600">
        <v>900110</v>
      </c>
      <c r="B26" s="159">
        <v>229103</v>
      </c>
      <c r="C26" s="527"/>
      <c r="D26" s="873"/>
      <c r="E26" s="873"/>
      <c r="F26" s="954"/>
      <c r="G26" s="244" t="s">
        <v>53</v>
      </c>
      <c r="H26" s="244"/>
      <c r="I26" s="244">
        <f t="shared" ref="I26:S26" si="14">VLOOKUP($A26&amp;$B26&amp;I$10,Base,9,FALSE)</f>
        <v>0</v>
      </c>
      <c r="J26" s="244">
        <f t="shared" si="14"/>
        <v>115995.92</v>
      </c>
      <c r="K26" s="244">
        <f t="shared" si="14"/>
        <v>57997.96</v>
      </c>
      <c r="L26" s="244">
        <f t="shared" si="14"/>
        <v>57997.96</v>
      </c>
      <c r="M26" s="244">
        <f t="shared" si="14"/>
        <v>57997.96</v>
      </c>
      <c r="N26" s="244">
        <f t="shared" si="14"/>
        <v>57997.96</v>
      </c>
      <c r="O26" s="244">
        <f t="shared" si="14"/>
        <v>57997.96</v>
      </c>
      <c r="P26" s="244">
        <f t="shared" si="14"/>
        <v>57997.96</v>
      </c>
      <c r="Q26" s="244">
        <f t="shared" si="14"/>
        <v>57997.96</v>
      </c>
      <c r="R26" s="244">
        <f t="shared" si="14"/>
        <v>0</v>
      </c>
      <c r="S26" s="244">
        <f t="shared" si="14"/>
        <v>0</v>
      </c>
      <c r="T26" s="329">
        <f t="shared" si="2"/>
        <v>521981.64000000007</v>
      </c>
      <c r="U26" s="903"/>
    </row>
    <row r="27" spans="1:21" ht="29.25" customHeight="1" x14ac:dyDescent="0.25">
      <c r="A27" s="600">
        <v>140100</v>
      </c>
      <c r="B27" s="313">
        <v>229001</v>
      </c>
      <c r="C27" s="529" t="s">
        <v>666</v>
      </c>
      <c r="D27" s="873" t="s">
        <v>695</v>
      </c>
      <c r="E27" s="873" t="s">
        <v>239</v>
      </c>
      <c r="F27" s="954">
        <f>SUM(H27:S27)</f>
        <v>594636</v>
      </c>
      <c r="G27" s="244" t="s">
        <v>52</v>
      </c>
      <c r="H27" s="244"/>
      <c r="I27" s="166">
        <f t="shared" ref="I27:S27" si="15">VLOOKUP($A27&amp;$B27&amp;I$10,Base,8,FALSE)</f>
        <v>0</v>
      </c>
      <c r="J27" s="166">
        <f t="shared" si="15"/>
        <v>99101.92</v>
      </c>
      <c r="K27" s="166">
        <f t="shared" si="15"/>
        <v>49550.96</v>
      </c>
      <c r="L27" s="166">
        <f t="shared" si="15"/>
        <v>49550.96</v>
      </c>
      <c r="M27" s="166">
        <f t="shared" si="15"/>
        <v>49550.96</v>
      </c>
      <c r="N27" s="166">
        <f t="shared" si="15"/>
        <v>49550.96</v>
      </c>
      <c r="O27" s="166">
        <f t="shared" si="15"/>
        <v>49545.16</v>
      </c>
      <c r="P27" s="166">
        <f t="shared" si="15"/>
        <v>49550.96</v>
      </c>
      <c r="Q27" s="166">
        <f t="shared" si="15"/>
        <v>49575.12</v>
      </c>
      <c r="R27" s="166">
        <f t="shared" si="15"/>
        <v>49553</v>
      </c>
      <c r="S27" s="166">
        <f t="shared" si="15"/>
        <v>99106</v>
      </c>
      <c r="T27" s="329">
        <f ca="1">SUM($H27:(OFFSET($H27,0,AVANCE060826!$T$2)))</f>
        <v>445977.00000000006</v>
      </c>
      <c r="U27" s="903" t="s">
        <v>669</v>
      </c>
    </row>
    <row r="28" spans="1:21" ht="29.25" customHeight="1" x14ac:dyDescent="0.25">
      <c r="A28" s="600">
        <v>140100</v>
      </c>
      <c r="B28" s="313">
        <v>229001</v>
      </c>
      <c r="C28" s="530"/>
      <c r="D28" s="873"/>
      <c r="E28" s="873"/>
      <c r="F28" s="954"/>
      <c r="G28" s="244" t="s">
        <v>53</v>
      </c>
      <c r="H28" s="244"/>
      <c r="I28" s="244">
        <f t="shared" ref="I28:S28" si="16">VLOOKUP($A28&amp;$B28&amp;I$10,Base,9,FALSE)</f>
        <v>0</v>
      </c>
      <c r="J28" s="244">
        <f t="shared" si="16"/>
        <v>99101.92</v>
      </c>
      <c r="K28" s="244">
        <f t="shared" si="16"/>
        <v>49550.96</v>
      </c>
      <c r="L28" s="244">
        <f t="shared" si="16"/>
        <v>49550.96</v>
      </c>
      <c r="M28" s="244">
        <f t="shared" si="16"/>
        <v>49550.96</v>
      </c>
      <c r="N28" s="244">
        <f t="shared" si="16"/>
        <v>49550.96</v>
      </c>
      <c r="O28" s="244">
        <f t="shared" si="16"/>
        <v>49545.16</v>
      </c>
      <c r="P28" s="244">
        <f t="shared" si="16"/>
        <v>49550.96</v>
      </c>
      <c r="Q28" s="244">
        <f t="shared" si="16"/>
        <v>49550.96</v>
      </c>
      <c r="R28" s="244">
        <f t="shared" si="16"/>
        <v>0</v>
      </c>
      <c r="S28" s="244">
        <f t="shared" si="16"/>
        <v>0</v>
      </c>
      <c r="T28" s="329">
        <f t="shared" si="2"/>
        <v>445952.84000000008</v>
      </c>
      <c r="U28" s="903"/>
    </row>
    <row r="29" spans="1:21" ht="29.25" customHeight="1" x14ac:dyDescent="0.25">
      <c r="A29" s="433">
        <v>380200</v>
      </c>
      <c r="B29" s="444">
        <v>225901</v>
      </c>
      <c r="C29" s="530" t="s">
        <v>666</v>
      </c>
      <c r="D29" s="873" t="s">
        <v>698</v>
      </c>
      <c r="E29" s="873" t="s">
        <v>196</v>
      </c>
      <c r="F29" s="954">
        <f>SUM(H29:S29)</f>
        <v>875052</v>
      </c>
      <c r="G29" s="244" t="s">
        <v>52</v>
      </c>
      <c r="H29" s="244"/>
      <c r="I29" s="166">
        <f t="shared" ref="I29:S29" si="17">VLOOKUP($A29&amp;$B29&amp;I$10,Base,8,FALSE)</f>
        <v>62862.400000000001</v>
      </c>
      <c r="J29" s="166">
        <f t="shared" si="17"/>
        <v>62862.400000000001</v>
      </c>
      <c r="K29" s="166">
        <f t="shared" si="17"/>
        <v>62862.400000000001</v>
      </c>
      <c r="L29" s="166">
        <f t="shared" si="17"/>
        <v>62862.400000000001</v>
      </c>
      <c r="M29" s="166">
        <f t="shared" si="17"/>
        <v>62862.400000000001</v>
      </c>
      <c r="N29" s="166">
        <f t="shared" si="17"/>
        <v>62862.400000000001</v>
      </c>
      <c r="O29" s="166">
        <f t="shared" si="17"/>
        <v>62862.400000000001</v>
      </c>
      <c r="P29" s="166">
        <f t="shared" si="17"/>
        <v>62862.400000000001</v>
      </c>
      <c r="Q29" s="166">
        <f t="shared" si="17"/>
        <v>153389.79999999999</v>
      </c>
      <c r="R29" s="166">
        <f t="shared" si="17"/>
        <v>72921</v>
      </c>
      <c r="S29" s="166">
        <f t="shared" si="17"/>
        <v>145842</v>
      </c>
      <c r="T29" s="329">
        <f ca="1">SUM($H29:(OFFSET($H29,0,AVANCE060826!$T$2)))</f>
        <v>656289</v>
      </c>
      <c r="U29" s="903" t="s">
        <v>669</v>
      </c>
    </row>
    <row r="30" spans="1:21" ht="29.25" customHeight="1" x14ac:dyDescent="0.25">
      <c r="A30" s="433">
        <v>380200</v>
      </c>
      <c r="B30" s="444">
        <v>225901</v>
      </c>
      <c r="C30" s="531"/>
      <c r="D30" s="873"/>
      <c r="E30" s="873"/>
      <c r="F30" s="954"/>
      <c r="G30" s="244" t="s">
        <v>53</v>
      </c>
      <c r="H30" s="244"/>
      <c r="I30" s="244">
        <f t="shared" ref="I30:S30" si="18">VLOOKUP($A30&amp;$B30&amp;I$10,Base,9,FALSE)</f>
        <v>62862.400000000001</v>
      </c>
      <c r="J30" s="244">
        <f t="shared" si="18"/>
        <v>62862.400000000001</v>
      </c>
      <c r="K30" s="244">
        <f t="shared" si="18"/>
        <v>62862.400000000001</v>
      </c>
      <c r="L30" s="244">
        <f t="shared" si="18"/>
        <v>62862.400000000001</v>
      </c>
      <c r="M30" s="244">
        <f t="shared" si="18"/>
        <v>62862.400000000001</v>
      </c>
      <c r="N30" s="244">
        <f t="shared" si="18"/>
        <v>62862.400000000001</v>
      </c>
      <c r="O30" s="244">
        <f t="shared" si="18"/>
        <v>62862.400000000001</v>
      </c>
      <c r="P30" s="244">
        <f t="shared" si="18"/>
        <v>62862.400000000001</v>
      </c>
      <c r="Q30" s="244">
        <f t="shared" si="18"/>
        <v>62862.400000000001</v>
      </c>
      <c r="R30" s="244">
        <f t="shared" si="18"/>
        <v>0</v>
      </c>
      <c r="S30" s="244">
        <f t="shared" si="18"/>
        <v>0</v>
      </c>
      <c r="T30" s="329">
        <f t="shared" si="2"/>
        <v>565761.60000000009</v>
      </c>
      <c r="U30" s="903"/>
    </row>
    <row r="31" spans="1:21" ht="29.25" customHeight="1" x14ac:dyDescent="0.25">
      <c r="A31" s="532">
        <v>73110</v>
      </c>
      <c r="B31" s="507">
        <v>229301</v>
      </c>
      <c r="C31" s="531" t="s">
        <v>666</v>
      </c>
      <c r="D31" s="873" t="s">
        <v>699</v>
      </c>
      <c r="E31" s="873" t="s">
        <v>255</v>
      </c>
      <c r="F31" s="954">
        <f>SUM(H31:S31)</f>
        <v>90480</v>
      </c>
      <c r="G31" s="244" t="s">
        <v>52</v>
      </c>
      <c r="H31" s="244"/>
      <c r="I31" s="166">
        <f t="shared" ref="I31:S31" si="19">VLOOKUP($A31&amp;$B31&amp;I$10,Base,8,FALSE)</f>
        <v>0</v>
      </c>
      <c r="J31" s="166">
        <f t="shared" si="19"/>
        <v>0</v>
      </c>
      <c r="K31" s="166">
        <f t="shared" si="19"/>
        <v>0</v>
      </c>
      <c r="L31" s="166">
        <f t="shared" si="19"/>
        <v>0</v>
      </c>
      <c r="M31" s="166">
        <f t="shared" si="19"/>
        <v>90479.88</v>
      </c>
      <c r="N31" s="166">
        <f t="shared" si="19"/>
        <v>0</v>
      </c>
      <c r="O31" s="166">
        <f t="shared" si="19"/>
        <v>0</v>
      </c>
      <c r="P31" s="166">
        <f t="shared" si="19"/>
        <v>0</v>
      </c>
      <c r="Q31" s="166">
        <f t="shared" si="19"/>
        <v>0.12</v>
      </c>
      <c r="R31" s="166">
        <f t="shared" si="19"/>
        <v>0</v>
      </c>
      <c r="S31" s="166">
        <f t="shared" si="19"/>
        <v>0</v>
      </c>
      <c r="T31" s="329">
        <f ca="1">SUM($H31:(OFFSET($H31,0,AVANCE060826!$T$2)))</f>
        <v>90480</v>
      </c>
      <c r="U31" s="903" t="s">
        <v>669</v>
      </c>
    </row>
    <row r="32" spans="1:21" ht="29.25" customHeight="1" x14ac:dyDescent="0.25">
      <c r="A32" s="532">
        <v>73110</v>
      </c>
      <c r="B32" s="507">
        <v>229301</v>
      </c>
      <c r="C32" s="533"/>
      <c r="D32" s="873"/>
      <c r="E32" s="873"/>
      <c r="F32" s="954"/>
      <c r="G32" s="244" t="s">
        <v>53</v>
      </c>
      <c r="H32" s="244"/>
      <c r="I32" s="244">
        <f t="shared" ref="I32:S32" si="20">VLOOKUP($A32&amp;$B32&amp;I$10,Base,9,FALSE)</f>
        <v>0</v>
      </c>
      <c r="J32" s="244">
        <f t="shared" si="20"/>
        <v>0</v>
      </c>
      <c r="K32" s="244">
        <f t="shared" si="20"/>
        <v>0</v>
      </c>
      <c r="L32" s="244">
        <f t="shared" si="20"/>
        <v>0</v>
      </c>
      <c r="M32" s="244">
        <f t="shared" si="20"/>
        <v>90479.88</v>
      </c>
      <c r="N32" s="244">
        <f t="shared" si="20"/>
        <v>0</v>
      </c>
      <c r="O32" s="244">
        <f t="shared" si="20"/>
        <v>0</v>
      </c>
      <c r="P32" s="244">
        <f t="shared" si="20"/>
        <v>0</v>
      </c>
      <c r="Q32" s="244">
        <f t="shared" si="20"/>
        <v>0</v>
      </c>
      <c r="R32" s="244">
        <f t="shared" si="20"/>
        <v>0</v>
      </c>
      <c r="S32" s="244">
        <f t="shared" si="20"/>
        <v>0</v>
      </c>
      <c r="T32" s="185">
        <f t="shared" si="2"/>
        <v>90479.88</v>
      </c>
      <c r="U32" s="903"/>
    </row>
    <row r="33" spans="1:21" ht="20.25" customHeight="1" x14ac:dyDescent="0.25">
      <c r="A33" s="40">
        <v>10</v>
      </c>
      <c r="B33" s="4"/>
      <c r="C33" s="24">
        <f>COUNT(#REF!)</f>
        <v>0</v>
      </c>
      <c r="D33" s="7"/>
      <c r="E33" s="6"/>
      <c r="F33" s="176">
        <f>SUM(F13:F31)</f>
        <v>4580850</v>
      </c>
      <c r="G33" s="244" t="s">
        <v>52</v>
      </c>
      <c r="H33" s="176">
        <f>+H31+H29+H27+H25+H23+H21+H19+H17+H15+H13</f>
        <v>0</v>
      </c>
      <c r="I33" s="176">
        <f>+I31+I29+I27+I25+I23+I21+I19+I17+I15+I13</f>
        <v>94452.209999999992</v>
      </c>
      <c r="J33" s="176">
        <f t="shared" ref="J33:S34" si="21">+J31+J29+J27+J25+J23+J21+J19+J17+J15+J13</f>
        <v>587125.06000000006</v>
      </c>
      <c r="K33" s="176">
        <f t="shared" si="21"/>
        <v>313799.69</v>
      </c>
      <c r="L33" s="176">
        <f t="shared" si="21"/>
        <v>313799.69</v>
      </c>
      <c r="M33" s="176">
        <f t="shared" si="21"/>
        <v>485246.38999999996</v>
      </c>
      <c r="N33" s="176">
        <f t="shared" si="21"/>
        <v>340788.63</v>
      </c>
      <c r="O33" s="176">
        <f t="shared" si="21"/>
        <v>340782.82999999996</v>
      </c>
      <c r="P33" s="176"/>
      <c r="Q33" s="176"/>
      <c r="R33" s="176"/>
      <c r="S33" s="176"/>
      <c r="T33" s="185">
        <f t="shared" si="2"/>
        <v>2475994.5</v>
      </c>
      <c r="U33" s="5"/>
    </row>
    <row r="34" spans="1:21" ht="31.5" customHeight="1" x14ac:dyDescent="0.25">
      <c r="F34" s="186"/>
      <c r="G34" s="244" t="s">
        <v>53</v>
      </c>
      <c r="H34" s="534"/>
      <c r="I34" s="534">
        <f>+I32+I30+I28+I26+I24+I22+I20+I18+I16+I14</f>
        <v>94452.209999999992</v>
      </c>
      <c r="J34" s="534">
        <f t="shared" si="21"/>
        <v>587125.06000000006</v>
      </c>
      <c r="K34" s="534">
        <f t="shared" si="21"/>
        <v>313799.69</v>
      </c>
      <c r="L34" s="774">
        <f>+L32+L30+L28+L26+L24+L22+L20+L18+M16+L14</f>
        <v>313799.69</v>
      </c>
      <c r="M34" s="774">
        <f>+M32+M30+M28+M26+M24+M22+M20+M18+N16+M14</f>
        <v>485246.38999999996</v>
      </c>
      <c r="N34" s="774">
        <f t="shared" si="21"/>
        <v>340788.63</v>
      </c>
      <c r="O34" s="774">
        <f t="shared" si="21"/>
        <v>340782.82999999996</v>
      </c>
      <c r="P34" s="186">
        <f t="shared" si="21"/>
        <v>386188.71</v>
      </c>
      <c r="Q34" s="186">
        <f t="shared" si="21"/>
        <v>376207.76</v>
      </c>
      <c r="R34" s="186">
        <f t="shared" si="21"/>
        <v>0</v>
      </c>
      <c r="S34" s="186">
        <f t="shared" si="21"/>
        <v>0</v>
      </c>
      <c r="T34" s="535">
        <f>+T14+T16+T18+T20+T22+T24+T26+T28+T30+T32</f>
        <v>3238390.97</v>
      </c>
      <c r="U34" s="857"/>
    </row>
    <row r="35" spans="1:21" ht="31.5" customHeight="1" x14ac:dyDescent="0.25">
      <c r="N35" s="9"/>
      <c r="T35" s="2"/>
      <c r="U35" s="857"/>
    </row>
    <row r="36" spans="1:21" ht="31.5" customHeight="1" x14ac:dyDescent="0.25"/>
  </sheetData>
  <autoFilter ref="B12:B35"/>
  <mergeCells count="61">
    <mergeCell ref="D31:D32"/>
    <mergeCell ref="E31:E32"/>
    <mergeCell ref="F31:F32"/>
    <mergeCell ref="U31:U32"/>
    <mergeCell ref="U34:U35"/>
    <mergeCell ref="U27:U28"/>
    <mergeCell ref="D29:D30"/>
    <mergeCell ref="E29:E30"/>
    <mergeCell ref="F29:F30"/>
    <mergeCell ref="U29:U30"/>
    <mergeCell ref="D27:D28"/>
    <mergeCell ref="E27:E28"/>
    <mergeCell ref="F27:F28"/>
    <mergeCell ref="U23:U24"/>
    <mergeCell ref="D25:D26"/>
    <mergeCell ref="E25:E26"/>
    <mergeCell ref="F25:F26"/>
    <mergeCell ref="U25:U26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paperSize="5" scale="54" fitToHeight="21" orientation="landscape" r:id="rId1"/>
  <ignoredErrors>
    <ignoredError sqref="T14:T30" formula="1"/>
  </ignoredError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80" zoomScalePageLayoutView="80" workbookViewId="0">
      <pane xSplit="5" ySplit="11" topLeftCell="G12" activePane="bottomRight" state="frozen"/>
      <selection pane="topRight" activeCell="F1" sqref="F1"/>
      <selection pane="bottomLeft" activeCell="A12" sqref="A12"/>
      <selection pane="bottomRight" activeCell="N12" sqref="N12:N17"/>
    </sheetView>
  </sheetViews>
  <sheetFormatPr baseColWidth="10" defaultRowHeight="15" x14ac:dyDescent="0.25"/>
  <cols>
    <col min="1" max="1" width="8.42578125" customWidth="1"/>
    <col min="2" max="2" width="11.5703125" customWidth="1"/>
    <col min="3" max="3" width="0.28515625" customWidth="1"/>
    <col min="4" max="4" width="25.42578125" customWidth="1"/>
    <col min="5" max="5" width="27.28515625" style="1" customWidth="1"/>
    <col min="6" max="6" width="15.5703125" customWidth="1"/>
    <col min="7" max="7" width="15" customWidth="1"/>
    <col min="8" max="8" width="22" customWidth="1"/>
    <col min="9" max="10" width="15" customWidth="1"/>
    <col min="11" max="12" width="15" hidden="1" customWidth="1"/>
    <col min="13" max="13" width="41.5703125" customWidth="1"/>
    <col min="14" max="16362" width="11.42578125" customWidth="1"/>
  </cols>
  <sheetData>
    <row r="1" spans="1:13" ht="18" x14ac:dyDescent="0.25">
      <c r="F1" s="10" t="s">
        <v>25</v>
      </c>
    </row>
    <row r="2" spans="1:13" ht="18" x14ac:dyDescent="0.25">
      <c r="F2" s="10" t="s">
        <v>24</v>
      </c>
    </row>
    <row r="3" spans="1:13" ht="18" x14ac:dyDescent="0.25">
      <c r="F3" s="10" t="s">
        <v>23</v>
      </c>
    </row>
    <row r="4" spans="1:13" ht="18" x14ac:dyDescent="0.25">
      <c r="F4" s="10" t="s">
        <v>22</v>
      </c>
    </row>
    <row r="5" spans="1:13" ht="18" x14ac:dyDescent="0.25">
      <c r="F5" s="10" t="s">
        <v>21</v>
      </c>
    </row>
    <row r="6" spans="1:13" ht="18" x14ac:dyDescent="0.25">
      <c r="E6" s="15"/>
      <c r="F6" s="14" t="s">
        <v>20</v>
      </c>
      <c r="G6" s="16"/>
      <c r="H6" s="16"/>
      <c r="I6" s="16"/>
      <c r="J6" s="16"/>
      <c r="K6" s="16"/>
      <c r="L6" s="16"/>
      <c r="M6" s="16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712</v>
      </c>
      <c r="F8" s="192"/>
      <c r="G8" s="192"/>
      <c r="H8" s="192"/>
      <c r="I8" s="192"/>
      <c r="J8" s="192"/>
      <c r="K8" s="192"/>
      <c r="L8" s="192"/>
      <c r="M8" s="192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999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3" ht="58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995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</row>
    <row r="12" spans="1:13" ht="92.25" customHeight="1" thickTop="1" x14ac:dyDescent="0.25">
      <c r="A12" s="349">
        <v>239001</v>
      </c>
      <c r="B12" s="349">
        <v>600100</v>
      </c>
      <c r="C12" s="555" t="s">
        <v>703</v>
      </c>
      <c r="D12" s="357" t="s">
        <v>704</v>
      </c>
      <c r="E12" s="556" t="s">
        <v>450</v>
      </c>
      <c r="F12" s="541">
        <f>QRO_Calendario!F13</f>
        <v>4322292</v>
      </c>
      <c r="G12" s="161">
        <v>340702.18</v>
      </c>
      <c r="H12" s="125">
        <f ca="1">QRO_Calendario!T13</f>
        <v>3241719.0000000005</v>
      </c>
      <c r="I12" s="125">
        <f>QRO_Calendario!T14</f>
        <v>3241713.1500000004</v>
      </c>
      <c r="J12" s="125">
        <f ca="1">+I12-H12</f>
        <v>-5.8500000000931323</v>
      </c>
      <c r="K12" s="125">
        <f t="shared" ref="K12:K18" ca="1" si="0">+J12/H12*100</f>
        <v>-1.8045981160282959E-4</v>
      </c>
      <c r="L12" s="125">
        <f t="shared" ref="L12:L18" ca="1" si="1">+I12/H12*100</f>
        <v>99.999819540188398</v>
      </c>
      <c r="M12" s="547" t="s">
        <v>980</v>
      </c>
    </row>
    <row r="13" spans="1:13" ht="92.25" customHeight="1" x14ac:dyDescent="0.25">
      <c r="A13" s="349">
        <v>239001</v>
      </c>
      <c r="B13" s="349">
        <v>300100</v>
      </c>
      <c r="C13" s="555" t="s">
        <v>703</v>
      </c>
      <c r="D13" s="357" t="s">
        <v>705</v>
      </c>
      <c r="E13" s="556" t="s">
        <v>450</v>
      </c>
      <c r="F13" s="541">
        <f>QRO_Calendario!F15</f>
        <v>1314048</v>
      </c>
      <c r="G13" s="161">
        <f>94400*1.16</f>
        <v>109503.99999999999</v>
      </c>
      <c r="H13" s="125">
        <f ca="1">QRO_Calendario!T15</f>
        <v>985535.99999999988</v>
      </c>
      <c r="I13" s="125">
        <f>QRO_Calendario!T16</f>
        <v>849599.72999999986</v>
      </c>
      <c r="J13" s="125">
        <f ca="1">+I13-H13</f>
        <v>-135936.27000000002</v>
      </c>
      <c r="K13" s="125">
        <f t="shared" ca="1" si="0"/>
        <v>-13.793130844535362</v>
      </c>
      <c r="L13" s="125">
        <f t="shared" ca="1" si="1"/>
        <v>86.206869155464645</v>
      </c>
      <c r="M13" s="547" t="s">
        <v>375</v>
      </c>
    </row>
    <row r="14" spans="1:13" ht="54" customHeight="1" x14ac:dyDescent="0.25">
      <c r="A14" s="349">
        <v>235901</v>
      </c>
      <c r="B14" s="349">
        <v>380200</v>
      </c>
      <c r="C14" s="555" t="s">
        <v>703</v>
      </c>
      <c r="D14" s="240" t="s">
        <v>706</v>
      </c>
      <c r="E14" s="433" t="s">
        <v>196</v>
      </c>
      <c r="F14" s="541">
        <f>QRO_Calendario!F17</f>
        <v>1364159.9999999998</v>
      </c>
      <c r="G14" s="166">
        <f>+F14/12</f>
        <v>113679.99999999999</v>
      </c>
      <c r="H14" s="67">
        <f ca="1">QRO_Calendario!T17</f>
        <v>1023119.9999999998</v>
      </c>
      <c r="I14" s="67">
        <f>QRO_Calendario!T18</f>
        <v>1023119.4599999997</v>
      </c>
      <c r="J14" s="67">
        <f ca="1">H14-I14</f>
        <v>0.5400000000372529</v>
      </c>
      <c r="K14" s="67">
        <f t="shared" ca="1" si="0"/>
        <v>5.2779732586329365E-5</v>
      </c>
      <c r="L14" s="67">
        <f t="shared" ca="1" si="1"/>
        <v>99.999947220267416</v>
      </c>
      <c r="M14" s="547" t="s">
        <v>980</v>
      </c>
    </row>
    <row r="15" spans="1:13" ht="74.25" customHeight="1" x14ac:dyDescent="0.25">
      <c r="A15" s="349">
        <v>238002</v>
      </c>
      <c r="B15" s="349">
        <v>920201</v>
      </c>
      <c r="C15" s="309" t="s">
        <v>707</v>
      </c>
      <c r="D15" s="240" t="s">
        <v>708</v>
      </c>
      <c r="E15" s="349" t="s">
        <v>311</v>
      </c>
      <c r="F15" s="541">
        <f>QRO_Calendario!F19</f>
        <v>224112</v>
      </c>
      <c r="G15" s="166">
        <f>+F15/12</f>
        <v>18676</v>
      </c>
      <c r="H15" s="67">
        <f ca="1">QRO_Calendario!T19</f>
        <v>168084</v>
      </c>
      <c r="I15" s="67">
        <f>QRO_Calendario!T20</f>
        <v>168083.91</v>
      </c>
      <c r="J15" s="67">
        <f ca="1">H15-I15</f>
        <v>8.999999999650754E-2</v>
      </c>
      <c r="K15" s="67">
        <f t="shared" ca="1" si="0"/>
        <v>5.3544656241229111E-5</v>
      </c>
      <c r="L15" s="67">
        <f t="shared" ca="1" si="1"/>
        <v>99.99994645534376</v>
      </c>
      <c r="M15" s="547" t="s">
        <v>980</v>
      </c>
    </row>
    <row r="16" spans="1:13" ht="60" customHeight="1" x14ac:dyDescent="0.25">
      <c r="A16" s="349">
        <v>238003</v>
      </c>
      <c r="B16" s="349">
        <v>920201</v>
      </c>
      <c r="C16" s="555" t="s">
        <v>703</v>
      </c>
      <c r="D16" s="240" t="s">
        <v>709</v>
      </c>
      <c r="E16" s="430" t="s">
        <v>710</v>
      </c>
      <c r="F16" s="541">
        <f>QRO_Calendario!F21</f>
        <v>312312</v>
      </c>
      <c r="G16" s="166">
        <f>+F16/12</f>
        <v>26026</v>
      </c>
      <c r="H16" s="67">
        <f ca="1">QRO_Calendario!T21</f>
        <v>234233.99999999997</v>
      </c>
      <c r="I16" s="67">
        <f>QRO_Calendario!T22</f>
        <v>234220.13999999996</v>
      </c>
      <c r="J16" s="67">
        <f ca="1">H16-I16</f>
        <v>13.860000000015134</v>
      </c>
      <c r="K16" s="67">
        <f t="shared" ca="1" si="0"/>
        <v>5.9171597633200712E-3</v>
      </c>
      <c r="L16" s="67">
        <f t="shared" ca="1" si="1"/>
        <v>99.994082840236672</v>
      </c>
      <c r="M16" s="547" t="s">
        <v>980</v>
      </c>
    </row>
    <row r="17" spans="1:13" ht="47.25" customHeight="1" thickBot="1" x14ac:dyDescent="0.3">
      <c r="A17" s="349">
        <v>235802</v>
      </c>
      <c r="B17" s="349">
        <v>800201</v>
      </c>
      <c r="C17" s="309" t="s">
        <v>707</v>
      </c>
      <c r="D17" s="143" t="s">
        <v>711</v>
      </c>
      <c r="E17" s="557" t="s">
        <v>219</v>
      </c>
      <c r="F17" s="541">
        <f>QRO_Calendario!F23</f>
        <v>424164</v>
      </c>
      <c r="G17" s="303">
        <f>+F17/12</f>
        <v>35347</v>
      </c>
      <c r="H17" s="68">
        <f ca="1">QRO_Calendario!T23</f>
        <v>318123</v>
      </c>
      <c r="I17" s="68">
        <f>QRO_Calendario!T24</f>
        <v>318099.60000000003</v>
      </c>
      <c r="J17" s="68">
        <f ca="1">H17-I17</f>
        <v>23.399999999965075</v>
      </c>
      <c r="K17" s="68">
        <f t="shared" ca="1" si="0"/>
        <v>7.3556454578779509E-3</v>
      </c>
      <c r="L17" s="68">
        <f t="shared" ca="1" si="1"/>
        <v>99.992644354542122</v>
      </c>
      <c r="M17" s="547" t="s">
        <v>980</v>
      </c>
    </row>
    <row r="18" spans="1:13" ht="20.25" customHeight="1" x14ac:dyDescent="0.25">
      <c r="A18" s="4"/>
      <c r="B18" s="40">
        <v>6</v>
      </c>
      <c r="C18" s="24">
        <f>COUNT(#REF!)</f>
        <v>0</v>
      </c>
      <c r="D18" s="7"/>
      <c r="E18" s="6"/>
      <c r="F18" s="339">
        <f>SUM(F12:F17)</f>
        <v>7961088</v>
      </c>
      <c r="G18" s="360">
        <f>+F18/12</f>
        <v>663424</v>
      </c>
      <c r="H18" s="558">
        <f ca="1">SUM(H12:H17)</f>
        <v>5970816</v>
      </c>
      <c r="I18" s="558">
        <f>SUM(I12:I17)</f>
        <v>5834835.9899999993</v>
      </c>
      <c r="J18" s="559">
        <f ca="1">H18-I18</f>
        <v>135980.01000000071</v>
      </c>
      <c r="K18" s="225">
        <f t="shared" ca="1" si="0"/>
        <v>2.2774108262589356</v>
      </c>
      <c r="L18" s="226">
        <f t="shared" ca="1" si="1"/>
        <v>97.722589173741071</v>
      </c>
      <c r="M18" s="552"/>
    </row>
    <row r="20" spans="1:13" x14ac:dyDescent="0.25">
      <c r="F20" s="9"/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4" fitToHeight="21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view="pageBreakPreview" zoomScale="85" zoomScaleNormal="100" zoomScaleSheetLayoutView="85" zoomScalePageLayoutView="80" workbookViewId="0">
      <pane xSplit="4" ySplit="12" topLeftCell="G17" activePane="bottomRight" state="frozen"/>
      <selection pane="topRight" activeCell="E1" sqref="E1"/>
      <selection pane="bottomLeft" activeCell="A12" sqref="A12"/>
      <selection pane="bottomRight" activeCell="Q30" sqref="Q30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D1" s="10"/>
      <c r="F1" s="10" t="s">
        <v>25</v>
      </c>
      <c r="U1" s="11"/>
    </row>
    <row r="2" spans="1:21" ht="18" x14ac:dyDescent="0.25">
      <c r="D2" s="10"/>
      <c r="F2" s="10" t="s">
        <v>24</v>
      </c>
    </row>
    <row r="3" spans="1:21" ht="18" x14ac:dyDescent="0.25">
      <c r="D3" s="10"/>
      <c r="F3" s="10" t="s">
        <v>23</v>
      </c>
    </row>
    <row r="4" spans="1:21" ht="18" x14ac:dyDescent="0.25">
      <c r="D4" s="10"/>
      <c r="F4" s="10" t="s">
        <v>22</v>
      </c>
    </row>
    <row r="5" spans="1:21" ht="18" x14ac:dyDescent="0.25">
      <c r="D5" s="10"/>
      <c r="F5" s="10" t="s">
        <v>21</v>
      </c>
    </row>
    <row r="6" spans="1:21" ht="20.25" x14ac:dyDescent="0.3">
      <c r="D6" s="14"/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142</v>
      </c>
      <c r="T8" s="9"/>
    </row>
    <row r="9" spans="1:21" ht="18" x14ac:dyDescent="0.25">
      <c r="D9" s="39"/>
      <c r="E9" s="10"/>
      <c r="T9" s="9"/>
    </row>
    <row r="10" spans="1:21" hidden="1" x14ac:dyDescent="0.25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25"/>
      <c r="B11" s="25" t="s">
        <v>18</v>
      </c>
      <c r="C11" s="920" t="s">
        <v>17</v>
      </c>
      <c r="D11" s="879" t="s">
        <v>16</v>
      </c>
      <c r="E11" s="848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167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x14ac:dyDescent="0.25">
      <c r="A12" s="25" t="s">
        <v>12</v>
      </c>
      <c r="B12" s="25" t="s">
        <v>13</v>
      </c>
      <c r="C12" s="920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48.75" customHeight="1" x14ac:dyDescent="0.25">
      <c r="A13" s="349">
        <v>140100</v>
      </c>
      <c r="B13" s="349">
        <v>239001</v>
      </c>
      <c r="C13" s="553" t="s">
        <v>703</v>
      </c>
      <c r="D13" s="873" t="s">
        <v>704</v>
      </c>
      <c r="E13" s="978" t="s">
        <v>450</v>
      </c>
      <c r="F13" s="918">
        <f>SUM(H13:S13)</f>
        <v>4322292</v>
      </c>
      <c r="G13" s="166" t="s">
        <v>52</v>
      </c>
      <c r="H13" s="301"/>
      <c r="I13" s="166">
        <f t="shared" ref="I13:S13" si="0">VLOOKUP($A13&amp;$B13&amp;I$10,Base,8,FALSE)</f>
        <v>0</v>
      </c>
      <c r="J13" s="166">
        <f t="shared" si="0"/>
        <v>720380.7</v>
      </c>
      <c r="K13" s="166">
        <f t="shared" si="0"/>
        <v>360190.35</v>
      </c>
      <c r="L13" s="166">
        <f t="shared" si="0"/>
        <v>360190.35</v>
      </c>
      <c r="M13" s="166">
        <f t="shared" si="0"/>
        <v>360190.35</v>
      </c>
      <c r="N13" s="166">
        <f t="shared" si="0"/>
        <v>360190.35</v>
      </c>
      <c r="O13" s="166">
        <f t="shared" si="0"/>
        <v>360190.35</v>
      </c>
      <c r="P13" s="166">
        <f t="shared" si="0"/>
        <v>360190.35</v>
      </c>
      <c r="Q13" s="166">
        <f t="shared" si="0"/>
        <v>360196.2</v>
      </c>
      <c r="R13" s="166">
        <f t="shared" si="0"/>
        <v>360191</v>
      </c>
      <c r="S13" s="166">
        <f t="shared" si="0"/>
        <v>720382</v>
      </c>
      <c r="T13" s="185">
        <f ca="1">SUM($H13:(OFFSET($H13,0,AVANCE060826!$T$2)))</f>
        <v>3241719.0000000005</v>
      </c>
      <c r="U13" s="903"/>
    </row>
    <row r="14" spans="1:21" ht="46.5" customHeight="1" x14ac:dyDescent="0.25">
      <c r="A14" s="349">
        <v>140100</v>
      </c>
      <c r="B14" s="349">
        <v>239001</v>
      </c>
      <c r="C14" s="553"/>
      <c r="D14" s="873"/>
      <c r="E14" s="978"/>
      <c r="F14" s="918"/>
      <c r="G14" s="166" t="s">
        <v>53</v>
      </c>
      <c r="H14" s="301"/>
      <c r="I14" s="301">
        <f t="shared" ref="I14:S14" si="1">VLOOKUP($A14&amp;$B14&amp;I$10,Base,9,FALSE)</f>
        <v>0</v>
      </c>
      <c r="J14" s="301">
        <f t="shared" si="1"/>
        <v>720380.7</v>
      </c>
      <c r="K14" s="301">
        <f t="shared" si="1"/>
        <v>360190.35</v>
      </c>
      <c r="L14" s="301">
        <f t="shared" si="1"/>
        <v>360190.35</v>
      </c>
      <c r="M14" s="301">
        <f t="shared" si="1"/>
        <v>360190.35</v>
      </c>
      <c r="N14" s="301">
        <f t="shared" si="1"/>
        <v>360190.35</v>
      </c>
      <c r="O14" s="301">
        <f t="shared" si="1"/>
        <v>360190.35</v>
      </c>
      <c r="P14" s="301">
        <f t="shared" si="1"/>
        <v>360190.35</v>
      </c>
      <c r="Q14" s="301">
        <f t="shared" si="1"/>
        <v>360190.35</v>
      </c>
      <c r="R14" s="301">
        <f t="shared" si="1"/>
        <v>0</v>
      </c>
      <c r="S14" s="301">
        <f t="shared" si="1"/>
        <v>0</v>
      </c>
      <c r="T14" s="67">
        <f t="shared" ref="T14:T24" si="2">SUM(H14:S14)</f>
        <v>3241713.1500000004</v>
      </c>
      <c r="U14" s="903"/>
    </row>
    <row r="15" spans="1:21" ht="46.5" customHeight="1" x14ac:dyDescent="0.25">
      <c r="A15" s="349">
        <v>300100</v>
      </c>
      <c r="B15" s="349">
        <v>239001</v>
      </c>
      <c r="C15" s="553" t="s">
        <v>703</v>
      </c>
      <c r="D15" s="873" t="s">
        <v>705</v>
      </c>
      <c r="E15" s="978" t="s">
        <v>450</v>
      </c>
      <c r="F15" s="918">
        <f>SUM(H15:S15)</f>
        <v>1314048</v>
      </c>
      <c r="G15" s="166" t="s">
        <v>52</v>
      </c>
      <c r="H15" s="301"/>
      <c r="I15" s="166">
        <f t="shared" ref="I15:S15" si="3">VLOOKUP($A15&amp;$B15&amp;I$10,Base,8,FALSE)</f>
        <v>0</v>
      </c>
      <c r="J15" s="166">
        <f t="shared" si="3"/>
        <v>94399.97</v>
      </c>
      <c r="K15" s="166">
        <f t="shared" si="3"/>
        <v>188799.94</v>
      </c>
      <c r="L15" s="166">
        <f t="shared" si="3"/>
        <v>94399.97</v>
      </c>
      <c r="M15" s="166">
        <f t="shared" si="3"/>
        <v>94399.97</v>
      </c>
      <c r="N15" s="166">
        <f t="shared" si="3"/>
        <v>94399.97</v>
      </c>
      <c r="O15" s="166">
        <f t="shared" si="3"/>
        <v>94399.97</v>
      </c>
      <c r="P15" s="166">
        <f t="shared" si="3"/>
        <v>94399.97</v>
      </c>
      <c r="Q15" s="166">
        <f t="shared" si="3"/>
        <v>230336.24</v>
      </c>
      <c r="R15" s="166">
        <f t="shared" si="3"/>
        <v>109504</v>
      </c>
      <c r="S15" s="166">
        <f t="shared" si="3"/>
        <v>219008</v>
      </c>
      <c r="T15" s="185">
        <f ca="1">SUM($H15:(OFFSET($H15,0,AVANCE060826!$T$2)))</f>
        <v>985535.99999999988</v>
      </c>
      <c r="U15" s="903"/>
    </row>
    <row r="16" spans="1:21" ht="46.5" customHeight="1" x14ac:dyDescent="0.25">
      <c r="A16" s="349">
        <v>300100</v>
      </c>
      <c r="B16" s="349">
        <v>239001</v>
      </c>
      <c r="C16" s="553"/>
      <c r="D16" s="873"/>
      <c r="E16" s="978"/>
      <c r="F16" s="918"/>
      <c r="G16" s="166" t="s">
        <v>53</v>
      </c>
      <c r="H16" s="301"/>
      <c r="I16" s="301">
        <f t="shared" ref="I16:S16" si="4">VLOOKUP($A16&amp;$B16&amp;I$10,Base,9,FALSE)</f>
        <v>0</v>
      </c>
      <c r="J16" s="301">
        <f t="shared" si="4"/>
        <v>94399.97</v>
      </c>
      <c r="K16" s="301">
        <f t="shared" si="4"/>
        <v>188799.94</v>
      </c>
      <c r="L16" s="301">
        <f t="shared" si="4"/>
        <v>94399.97</v>
      </c>
      <c r="M16" s="301">
        <f t="shared" si="4"/>
        <v>94399.97</v>
      </c>
      <c r="N16" s="301">
        <f t="shared" si="4"/>
        <v>94399.97</v>
      </c>
      <c r="O16" s="301">
        <f t="shared" si="4"/>
        <v>94399.97</v>
      </c>
      <c r="P16" s="301">
        <f t="shared" si="4"/>
        <v>94399.97</v>
      </c>
      <c r="Q16" s="301">
        <f t="shared" si="4"/>
        <v>94399.97</v>
      </c>
      <c r="R16" s="301">
        <f t="shared" si="4"/>
        <v>0</v>
      </c>
      <c r="S16" s="301">
        <f t="shared" si="4"/>
        <v>0</v>
      </c>
      <c r="T16" s="67">
        <f>SUM(H16:S16)</f>
        <v>849599.72999999986</v>
      </c>
      <c r="U16" s="903"/>
    </row>
    <row r="17" spans="1:21" ht="37.5" customHeight="1" x14ac:dyDescent="0.25">
      <c r="A17" s="349">
        <v>380200</v>
      </c>
      <c r="B17" s="349">
        <v>235901</v>
      </c>
      <c r="C17" s="553" t="s">
        <v>703</v>
      </c>
      <c r="D17" s="873" t="s">
        <v>706</v>
      </c>
      <c r="E17" s="978" t="s">
        <v>196</v>
      </c>
      <c r="F17" s="918">
        <f>SUM(H17:S17)</f>
        <v>1364159.9999999998</v>
      </c>
      <c r="G17" s="166" t="s">
        <v>52</v>
      </c>
      <c r="H17" s="301"/>
      <c r="I17" s="166">
        <f t="shared" ref="I17:S17" si="5">VLOOKUP($A17&amp;$B17&amp;I$10,Base,8,FALSE)</f>
        <v>0</v>
      </c>
      <c r="J17" s="166">
        <f t="shared" si="5"/>
        <v>227359.88</v>
      </c>
      <c r="K17" s="166">
        <f t="shared" si="5"/>
        <v>113679.94</v>
      </c>
      <c r="L17" s="166">
        <f t="shared" si="5"/>
        <v>113679.94</v>
      </c>
      <c r="M17" s="166">
        <f t="shared" si="5"/>
        <v>113679.94</v>
      </c>
      <c r="N17" s="166">
        <f t="shared" si="5"/>
        <v>113679.94</v>
      </c>
      <c r="O17" s="166">
        <f t="shared" si="5"/>
        <v>113679.94</v>
      </c>
      <c r="P17" s="166">
        <f t="shared" si="5"/>
        <v>113679.94</v>
      </c>
      <c r="Q17" s="166">
        <f t="shared" si="5"/>
        <v>113680.48</v>
      </c>
      <c r="R17" s="166">
        <f t="shared" si="5"/>
        <v>113680</v>
      </c>
      <c r="S17" s="166">
        <f t="shared" si="5"/>
        <v>227360</v>
      </c>
      <c r="T17" s="185">
        <f ca="1">SUM($H17:(OFFSET($H17,0,AVANCE060826!$T$2)))</f>
        <v>1023119.9999999998</v>
      </c>
      <c r="U17" s="903"/>
    </row>
    <row r="18" spans="1:21" ht="37.5" customHeight="1" x14ac:dyDescent="0.25">
      <c r="A18" s="349">
        <v>380200</v>
      </c>
      <c r="B18" s="349">
        <v>235901</v>
      </c>
      <c r="C18" s="553"/>
      <c r="D18" s="873"/>
      <c r="E18" s="978"/>
      <c r="F18" s="918"/>
      <c r="G18" s="166" t="s">
        <v>53</v>
      </c>
      <c r="H18" s="301"/>
      <c r="I18" s="301">
        <f t="shared" ref="I18:S18" si="6">VLOOKUP($A18&amp;$B18&amp;I$10,Base,9,FALSE)</f>
        <v>0</v>
      </c>
      <c r="J18" s="301">
        <f t="shared" si="6"/>
        <v>227359.88</v>
      </c>
      <c r="K18" s="301">
        <f t="shared" si="6"/>
        <v>113679.94</v>
      </c>
      <c r="L18" s="301">
        <f t="shared" si="6"/>
        <v>113679.94</v>
      </c>
      <c r="M18" s="301">
        <f t="shared" si="6"/>
        <v>113679.94</v>
      </c>
      <c r="N18" s="301">
        <f t="shared" si="6"/>
        <v>113679.94</v>
      </c>
      <c r="O18" s="301">
        <f t="shared" si="6"/>
        <v>113679.94</v>
      </c>
      <c r="P18" s="301">
        <f t="shared" si="6"/>
        <v>113679.94</v>
      </c>
      <c r="Q18" s="301">
        <f t="shared" si="6"/>
        <v>113679.94</v>
      </c>
      <c r="R18" s="301">
        <f t="shared" si="6"/>
        <v>0</v>
      </c>
      <c r="S18" s="301">
        <f t="shared" si="6"/>
        <v>0</v>
      </c>
      <c r="T18" s="67">
        <f t="shared" si="2"/>
        <v>1023119.4599999997</v>
      </c>
      <c r="U18" s="903"/>
    </row>
    <row r="19" spans="1:21" ht="37.5" customHeight="1" x14ac:dyDescent="0.25">
      <c r="A19" s="349">
        <v>920201</v>
      </c>
      <c r="B19" s="349">
        <v>238002</v>
      </c>
      <c r="C19" s="554" t="s">
        <v>707</v>
      </c>
      <c r="D19" s="873" t="s">
        <v>708</v>
      </c>
      <c r="E19" s="943" t="s">
        <v>311</v>
      </c>
      <c r="F19" s="918">
        <f>SUM(H19:S19)</f>
        <v>224112</v>
      </c>
      <c r="G19" s="166" t="s">
        <v>52</v>
      </c>
      <c r="H19" s="301"/>
      <c r="I19" s="166">
        <f t="shared" ref="I19:S19" si="7">VLOOKUP($A19&amp;$B19&amp;I$10,Base,8,FALSE)</f>
        <v>0</v>
      </c>
      <c r="J19" s="166">
        <f t="shared" si="7"/>
        <v>37351.980000000003</v>
      </c>
      <c r="K19" s="166">
        <f t="shared" si="7"/>
        <v>18675.990000000002</v>
      </c>
      <c r="L19" s="166">
        <f t="shared" si="7"/>
        <v>18675.990000000002</v>
      </c>
      <c r="M19" s="166">
        <f t="shared" si="7"/>
        <v>18675.990000000002</v>
      </c>
      <c r="N19" s="166">
        <f t="shared" si="7"/>
        <v>18675.990000000002</v>
      </c>
      <c r="O19" s="166">
        <f t="shared" si="7"/>
        <v>18675.990000000002</v>
      </c>
      <c r="P19" s="166">
        <f t="shared" si="7"/>
        <v>18675.990000000002</v>
      </c>
      <c r="Q19" s="166">
        <f t="shared" si="7"/>
        <v>18676.080000000002</v>
      </c>
      <c r="R19" s="166">
        <f t="shared" si="7"/>
        <v>18676</v>
      </c>
      <c r="S19" s="166">
        <f t="shared" si="7"/>
        <v>37352</v>
      </c>
      <c r="T19" s="185">
        <f ca="1">SUM($H19:(OFFSET($H19,0,AVANCE060826!$T$2)))</f>
        <v>168084</v>
      </c>
      <c r="U19" s="903"/>
    </row>
    <row r="20" spans="1:21" ht="37.5" customHeight="1" x14ac:dyDescent="0.25">
      <c r="A20" s="349">
        <v>920201</v>
      </c>
      <c r="B20" s="349">
        <v>238002</v>
      </c>
      <c r="C20" s="554"/>
      <c r="D20" s="873"/>
      <c r="E20" s="943"/>
      <c r="F20" s="918"/>
      <c r="G20" s="166" t="s">
        <v>53</v>
      </c>
      <c r="H20" s="301"/>
      <c r="I20" s="301">
        <f t="shared" ref="I20:S20" si="8">VLOOKUP($A20&amp;$B20&amp;I$10,Base,9,FALSE)</f>
        <v>0</v>
      </c>
      <c r="J20" s="301">
        <f t="shared" si="8"/>
        <v>37351.980000000003</v>
      </c>
      <c r="K20" s="301">
        <f t="shared" si="8"/>
        <v>18675.990000000002</v>
      </c>
      <c r="L20" s="301">
        <f t="shared" si="8"/>
        <v>18675.990000000002</v>
      </c>
      <c r="M20" s="301">
        <f t="shared" si="8"/>
        <v>18675.990000000002</v>
      </c>
      <c r="N20" s="301">
        <f t="shared" si="8"/>
        <v>18675.990000000002</v>
      </c>
      <c r="O20" s="301">
        <f t="shared" si="8"/>
        <v>18675.990000000002</v>
      </c>
      <c r="P20" s="301">
        <f t="shared" si="8"/>
        <v>18675.990000000002</v>
      </c>
      <c r="Q20" s="301">
        <f t="shared" si="8"/>
        <v>18675.990000000002</v>
      </c>
      <c r="R20" s="301">
        <f t="shared" si="8"/>
        <v>0</v>
      </c>
      <c r="S20" s="301">
        <f t="shared" si="8"/>
        <v>0</v>
      </c>
      <c r="T20" s="67">
        <f t="shared" si="2"/>
        <v>168083.91</v>
      </c>
      <c r="U20" s="903"/>
    </row>
    <row r="21" spans="1:21" ht="37.5" customHeight="1" x14ac:dyDescent="0.25">
      <c r="A21" s="349">
        <v>920201</v>
      </c>
      <c r="B21" s="349">
        <v>238003</v>
      </c>
      <c r="C21" s="553" t="s">
        <v>703</v>
      </c>
      <c r="D21" s="873" t="s">
        <v>709</v>
      </c>
      <c r="E21" s="1000" t="s">
        <v>710</v>
      </c>
      <c r="F21" s="918">
        <f>SUM(H21:S21)</f>
        <v>312312</v>
      </c>
      <c r="G21" s="166" t="s">
        <v>52</v>
      </c>
      <c r="H21" s="301"/>
      <c r="I21" s="166">
        <f t="shared" ref="I21:S21" si="9">VLOOKUP($A21&amp;$B21&amp;I$10,Base,8,FALSE)</f>
        <v>0</v>
      </c>
      <c r="J21" s="166">
        <f t="shared" si="9"/>
        <v>52048.92</v>
      </c>
      <c r="K21" s="166">
        <f t="shared" si="9"/>
        <v>26024.46</v>
      </c>
      <c r="L21" s="166">
        <f t="shared" si="9"/>
        <v>26024.46</v>
      </c>
      <c r="M21" s="166">
        <f t="shared" si="9"/>
        <v>26024.46</v>
      </c>
      <c r="N21" s="166">
        <f t="shared" si="9"/>
        <v>26024.46</v>
      </c>
      <c r="O21" s="166">
        <f t="shared" si="9"/>
        <v>26024.46</v>
      </c>
      <c r="P21" s="166">
        <f t="shared" si="9"/>
        <v>26024.46</v>
      </c>
      <c r="Q21" s="166">
        <f t="shared" si="9"/>
        <v>26038.32</v>
      </c>
      <c r="R21" s="166">
        <f t="shared" si="9"/>
        <v>26026</v>
      </c>
      <c r="S21" s="166">
        <f t="shared" si="9"/>
        <v>52052</v>
      </c>
      <c r="T21" s="185">
        <f ca="1">SUM($H21:(OFFSET($H21,0,AVANCE060826!$T$2)))</f>
        <v>234233.99999999997</v>
      </c>
      <c r="U21" s="903"/>
    </row>
    <row r="22" spans="1:21" ht="37.5" customHeight="1" x14ac:dyDescent="0.25">
      <c r="A22" s="349">
        <v>920201</v>
      </c>
      <c r="B22" s="349">
        <v>238003</v>
      </c>
      <c r="C22" s="553"/>
      <c r="D22" s="873"/>
      <c r="E22" s="1000"/>
      <c r="F22" s="918"/>
      <c r="G22" s="166" t="s">
        <v>53</v>
      </c>
      <c r="H22" s="301"/>
      <c r="I22" s="301">
        <f t="shared" ref="I22:S22" si="10">VLOOKUP($A22&amp;$B22&amp;I$10,Base,9,FALSE)</f>
        <v>0</v>
      </c>
      <c r="J22" s="301">
        <f t="shared" si="10"/>
        <v>52048.92</v>
      </c>
      <c r="K22" s="301">
        <f t="shared" si="10"/>
        <v>26024.46</v>
      </c>
      <c r="L22" s="301">
        <f t="shared" si="10"/>
        <v>26024.46</v>
      </c>
      <c r="M22" s="301">
        <f t="shared" si="10"/>
        <v>26024.46</v>
      </c>
      <c r="N22" s="301">
        <f t="shared" si="10"/>
        <v>26024.46</v>
      </c>
      <c r="O22" s="301">
        <f t="shared" si="10"/>
        <v>26024.46</v>
      </c>
      <c r="P22" s="301">
        <f t="shared" si="10"/>
        <v>26024.46</v>
      </c>
      <c r="Q22" s="301">
        <f t="shared" si="10"/>
        <v>26024.46</v>
      </c>
      <c r="R22" s="301">
        <f t="shared" si="10"/>
        <v>0</v>
      </c>
      <c r="S22" s="301">
        <f t="shared" si="10"/>
        <v>0</v>
      </c>
      <c r="T22" s="67">
        <f t="shared" si="2"/>
        <v>234220.13999999996</v>
      </c>
      <c r="U22" s="903"/>
    </row>
    <row r="23" spans="1:21" ht="37.5" customHeight="1" x14ac:dyDescent="0.25">
      <c r="A23" s="349">
        <v>800201</v>
      </c>
      <c r="B23" s="349">
        <v>235802</v>
      </c>
      <c r="C23" s="554" t="s">
        <v>707</v>
      </c>
      <c r="D23" s="873" t="s">
        <v>711</v>
      </c>
      <c r="E23" s="1000" t="s">
        <v>219</v>
      </c>
      <c r="F23" s="918">
        <f>SUM(H23:S23)</f>
        <v>424164</v>
      </c>
      <c r="G23" s="166" t="s">
        <v>52</v>
      </c>
      <c r="H23" s="301"/>
      <c r="I23" s="166">
        <f t="shared" ref="I23:S23" si="11">VLOOKUP($A23&amp;$B23&amp;I$10,Base,8,FALSE)</f>
        <v>0</v>
      </c>
      <c r="J23" s="166">
        <f t="shared" si="11"/>
        <v>70688.800000000003</v>
      </c>
      <c r="K23" s="166">
        <f t="shared" si="11"/>
        <v>35344.400000000001</v>
      </c>
      <c r="L23" s="166">
        <f t="shared" si="11"/>
        <v>35344.400000000001</v>
      </c>
      <c r="M23" s="166">
        <f t="shared" si="11"/>
        <v>35344.400000000001</v>
      </c>
      <c r="N23" s="166">
        <f t="shared" si="11"/>
        <v>35344.400000000001</v>
      </c>
      <c r="O23" s="166">
        <f t="shared" si="11"/>
        <v>35344.400000000001</v>
      </c>
      <c r="P23" s="166">
        <f t="shared" si="11"/>
        <v>35344.400000000001</v>
      </c>
      <c r="Q23" s="166">
        <f t="shared" si="11"/>
        <v>35367.800000000003</v>
      </c>
      <c r="R23" s="166">
        <f t="shared" si="11"/>
        <v>35347</v>
      </c>
      <c r="S23" s="166">
        <f t="shared" si="11"/>
        <v>70694</v>
      </c>
      <c r="T23" s="185">
        <f ca="1">SUM($H23:(OFFSET($H23,0,AVANCE060826!$T$2)))</f>
        <v>318123</v>
      </c>
      <c r="U23" s="903"/>
    </row>
    <row r="24" spans="1:21" ht="37.5" customHeight="1" x14ac:dyDescent="0.25">
      <c r="A24" s="349">
        <v>800201</v>
      </c>
      <c r="B24" s="349">
        <v>235802</v>
      </c>
      <c r="C24" s="554"/>
      <c r="D24" s="873"/>
      <c r="E24" s="1000"/>
      <c r="F24" s="918"/>
      <c r="G24" s="166" t="s">
        <v>53</v>
      </c>
      <c r="H24" s="301"/>
      <c r="I24" s="301">
        <f t="shared" ref="I24:S24" si="12">VLOOKUP($A24&amp;$B24&amp;I$10,Base,9,FALSE)</f>
        <v>0</v>
      </c>
      <c r="J24" s="301">
        <f t="shared" si="12"/>
        <v>70688.800000000003</v>
      </c>
      <c r="K24" s="301">
        <f t="shared" si="12"/>
        <v>35344.400000000001</v>
      </c>
      <c r="L24" s="301">
        <f t="shared" si="12"/>
        <v>35344.400000000001</v>
      </c>
      <c r="M24" s="301">
        <f t="shared" si="12"/>
        <v>35344.400000000001</v>
      </c>
      <c r="N24" s="301">
        <f t="shared" si="12"/>
        <v>35344.400000000001</v>
      </c>
      <c r="O24" s="301">
        <f t="shared" si="12"/>
        <v>35344.400000000001</v>
      </c>
      <c r="P24" s="301">
        <f t="shared" si="12"/>
        <v>35344.400000000001</v>
      </c>
      <c r="Q24" s="301">
        <f t="shared" si="12"/>
        <v>35344.400000000001</v>
      </c>
      <c r="R24" s="301">
        <f t="shared" si="12"/>
        <v>0</v>
      </c>
      <c r="S24" s="301">
        <f t="shared" si="12"/>
        <v>0</v>
      </c>
      <c r="T24" s="67">
        <f t="shared" si="2"/>
        <v>318099.60000000003</v>
      </c>
      <c r="U24" s="903"/>
    </row>
    <row r="25" spans="1:21" ht="15.75" thickBot="1" x14ac:dyDescent="0.3">
      <c r="A25" s="4">
        <v>6</v>
      </c>
      <c r="B25" s="4"/>
      <c r="C25" s="24">
        <f>COUNT(#REF!)</f>
        <v>0</v>
      </c>
      <c r="D25" s="7"/>
      <c r="E25" s="6"/>
      <c r="F25" s="32">
        <f>SUM(F13:F23)</f>
        <v>7961088</v>
      </c>
      <c r="G25" s="166" t="s">
        <v>52</v>
      </c>
      <c r="H25" s="176">
        <f t="shared" ref="H25:M25" si="13">SUM(H23+H21+H19+H17+H13)</f>
        <v>0</v>
      </c>
      <c r="I25" s="176">
        <f t="shared" si="13"/>
        <v>0</v>
      </c>
      <c r="J25" s="176">
        <f t="shared" si="13"/>
        <v>1107830.28</v>
      </c>
      <c r="K25" s="176">
        <f t="shared" si="13"/>
        <v>553915.14</v>
      </c>
      <c r="L25" s="176">
        <f t="shared" si="13"/>
        <v>553915.14</v>
      </c>
      <c r="M25" s="176">
        <f t="shared" si="13"/>
        <v>553915.14</v>
      </c>
      <c r="N25" s="176">
        <f t="shared" ref="N25:S25" si="14">SUM(N23+N21+N19+N17+N13)</f>
        <v>553915.14</v>
      </c>
      <c r="O25" s="176">
        <f t="shared" si="14"/>
        <v>553915.14</v>
      </c>
      <c r="P25" s="176">
        <f t="shared" si="14"/>
        <v>553915.14</v>
      </c>
      <c r="Q25" s="176">
        <f t="shared" si="14"/>
        <v>553958.88</v>
      </c>
      <c r="R25" s="176">
        <f t="shared" si="14"/>
        <v>553920</v>
      </c>
      <c r="S25" s="176">
        <f t="shared" si="14"/>
        <v>1107840</v>
      </c>
      <c r="T25" s="176">
        <f ca="1">SUM(T23+T21+T19+T17+T13+T15)</f>
        <v>5970816</v>
      </c>
      <c r="U25" s="5"/>
    </row>
    <row r="26" spans="1:21" ht="31.5" customHeight="1" x14ac:dyDescent="0.25">
      <c r="F26" s="3"/>
      <c r="G26" s="166" t="s">
        <v>53</v>
      </c>
      <c r="H26" s="176">
        <f t="shared" ref="H26:M26" si="15">SUM(H24+H22+H20+H18+H14)</f>
        <v>0</v>
      </c>
      <c r="I26" s="176">
        <f t="shared" si="15"/>
        <v>0</v>
      </c>
      <c r="J26" s="176">
        <f t="shared" si="15"/>
        <v>1107830.28</v>
      </c>
      <c r="K26" s="176">
        <f t="shared" si="15"/>
        <v>553915.14</v>
      </c>
      <c r="L26" s="176">
        <f t="shared" si="15"/>
        <v>553915.14</v>
      </c>
      <c r="M26" s="176">
        <f t="shared" si="15"/>
        <v>553915.14</v>
      </c>
      <c r="N26" s="176">
        <f t="shared" ref="N26:S26" si="16">SUM(N24+N22+N20+N18+N14)</f>
        <v>553915.14</v>
      </c>
      <c r="O26" s="176">
        <f t="shared" si="16"/>
        <v>553915.14</v>
      </c>
      <c r="P26" s="176">
        <f t="shared" si="16"/>
        <v>553915.14</v>
      </c>
      <c r="Q26" s="176">
        <f t="shared" si="16"/>
        <v>553915.14</v>
      </c>
      <c r="R26" s="176">
        <f t="shared" si="16"/>
        <v>0</v>
      </c>
      <c r="S26" s="176">
        <f t="shared" si="16"/>
        <v>0</v>
      </c>
      <c r="T26" s="176">
        <f>SUM(T24+T22+T20+T18+T14+T16)</f>
        <v>5834835.9899999993</v>
      </c>
      <c r="U26" s="857"/>
    </row>
    <row r="27" spans="1:21" ht="31.5" customHeight="1" x14ac:dyDescent="0.25">
      <c r="F27" s="2"/>
      <c r="G27" s="2"/>
      <c r="H27" s="2">
        <v>553918.70083333331</v>
      </c>
      <c r="I27" s="2">
        <v>553918.70083333331</v>
      </c>
      <c r="J27" s="2">
        <v>553918.70083333331</v>
      </c>
      <c r="K27" s="2">
        <v>553918.70083333331</v>
      </c>
      <c r="L27" s="2">
        <v>553918.70083333331</v>
      </c>
      <c r="M27" s="2">
        <v>553918.64083333337</v>
      </c>
      <c r="N27" s="2"/>
      <c r="O27" s="2"/>
      <c r="P27" s="2"/>
      <c r="Q27" s="2"/>
      <c r="R27" s="2"/>
      <c r="S27" s="2"/>
      <c r="T27" s="2"/>
      <c r="U27" s="857"/>
    </row>
    <row r="28" spans="1:21" ht="31.5" customHeight="1" x14ac:dyDescent="0.25">
      <c r="T28" s="9"/>
    </row>
  </sheetData>
  <autoFilter ref="B12:B26"/>
  <mergeCells count="45">
    <mergeCell ref="U23:U24"/>
    <mergeCell ref="U26:U27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0" fitToHeight="21" orientation="landscape" r:id="rId1"/>
  <rowBreaks count="1" manualBreakCount="1">
    <brk id="37" min="2" max="12" man="1"/>
  </rowBreaks>
  <ignoredErrors>
    <ignoredError sqref="T14:T22" formula="1"/>
  </ignoredError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opLeftCell="A8" zoomScaleNormal="100" zoomScaleSheetLayoutView="85" zoomScalePageLayoutView="80" workbookViewId="0">
      <pane xSplit="1" topLeftCell="E1" activePane="topRight" state="frozen"/>
      <selection activeCell="A7" sqref="A7"/>
      <selection pane="topRight" activeCell="O12" sqref="O12:O15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5.5703125" customWidth="1"/>
    <col min="7" max="7" width="15" customWidth="1"/>
    <col min="8" max="8" width="19.140625" customWidth="1"/>
    <col min="9" max="9" width="16.7109375" style="192" customWidth="1"/>
    <col min="10" max="10" width="14.28515625" customWidth="1"/>
    <col min="11" max="11" width="11.7109375" hidden="1" customWidth="1"/>
    <col min="12" max="12" width="10.28515625" hidden="1" customWidth="1"/>
    <col min="13" max="13" width="47.140625" customWidth="1"/>
    <col min="14" max="14" width="3.140625" customWidth="1"/>
    <col min="15" max="15" width="28" customWidth="1"/>
    <col min="16" max="16365" width="11.42578125" customWidth="1"/>
  </cols>
  <sheetData>
    <row r="1" spans="1:18" ht="18" x14ac:dyDescent="0.25">
      <c r="D1" s="10" t="s">
        <v>25</v>
      </c>
      <c r="M1" s="11"/>
    </row>
    <row r="2" spans="1:18" ht="18" x14ac:dyDescent="0.25">
      <c r="D2" s="10" t="s">
        <v>24</v>
      </c>
    </row>
    <row r="3" spans="1:18" ht="18" x14ac:dyDescent="0.25">
      <c r="D3" s="10" t="s">
        <v>23</v>
      </c>
    </row>
    <row r="4" spans="1:18" ht="18" x14ac:dyDescent="0.25">
      <c r="D4" s="10" t="s">
        <v>22</v>
      </c>
      <c r="K4" s="9"/>
      <c r="L4" s="9"/>
    </row>
    <row r="5" spans="1:18" ht="18" x14ac:dyDescent="0.25">
      <c r="D5" s="10" t="s">
        <v>21</v>
      </c>
    </row>
    <row r="6" spans="1:18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8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8" ht="18" x14ac:dyDescent="0.25">
      <c r="D8" s="39" t="s">
        <v>31</v>
      </c>
      <c r="E8" s="10" t="s">
        <v>143</v>
      </c>
      <c r="H8" s="9"/>
      <c r="J8" s="9"/>
    </row>
    <row r="9" spans="1:18" ht="15.75" thickBot="1" x14ac:dyDescent="0.3">
      <c r="J9" s="9"/>
    </row>
    <row r="10" spans="1:18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  <c r="P10" s="279"/>
      <c r="Q10" s="279"/>
      <c r="R10" s="279"/>
    </row>
    <row r="11" spans="1:18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838"/>
      <c r="H11" s="58" t="s">
        <v>91</v>
      </c>
      <c r="I11" s="570" t="s">
        <v>92</v>
      </c>
      <c r="J11" s="72" t="s">
        <v>962</v>
      </c>
      <c r="K11" s="26" t="s">
        <v>29</v>
      </c>
      <c r="L11" s="838"/>
      <c r="M11" s="841"/>
      <c r="P11" s="279"/>
      <c r="Q11" s="279"/>
      <c r="R11" s="279"/>
    </row>
    <row r="12" spans="1:18" ht="52.5" customHeight="1" thickTop="1" x14ac:dyDescent="0.25">
      <c r="A12" s="560">
        <v>242422</v>
      </c>
      <c r="B12" s="560">
        <v>200200</v>
      </c>
      <c r="C12" s="561" t="s">
        <v>713</v>
      </c>
      <c r="D12" s="135" t="s">
        <v>714</v>
      </c>
      <c r="E12" s="571" t="s">
        <v>715</v>
      </c>
      <c r="F12" s="572">
        <f>'Q ROO_Calendario'!F13</f>
        <v>69600</v>
      </c>
      <c r="G12" s="573">
        <f>+F12/12</f>
        <v>5800</v>
      </c>
      <c r="H12" s="65">
        <f ca="1">'Q ROO_Calendario'!T13</f>
        <v>52200</v>
      </c>
      <c r="I12" s="65">
        <f>'Q ROO_Calendario'!T14</f>
        <v>20000</v>
      </c>
      <c r="J12" s="73">
        <f ca="1">H12-I12</f>
        <v>32200</v>
      </c>
      <c r="K12" s="74">
        <f ca="1">+J12/H12*100</f>
        <v>61.685823754789268</v>
      </c>
      <c r="L12" s="75">
        <f ca="1">+I12/H12*100</f>
        <v>38.314176245210732</v>
      </c>
      <c r="M12" s="574" t="s">
        <v>725</v>
      </c>
      <c r="P12" s="279"/>
      <c r="Q12" s="279"/>
      <c r="R12" s="279"/>
    </row>
    <row r="13" spans="1:18" ht="74.25" customHeight="1" x14ac:dyDescent="0.25">
      <c r="A13" s="562">
        <v>249101</v>
      </c>
      <c r="B13" s="562">
        <v>900110</v>
      </c>
      <c r="C13" s="563" t="s">
        <v>717</v>
      </c>
      <c r="D13" s="135" t="s">
        <v>718</v>
      </c>
      <c r="E13" s="571" t="s">
        <v>384</v>
      </c>
      <c r="F13" s="572">
        <f>'Q ROO_Calendario'!F15:F15</f>
        <v>1177556.52</v>
      </c>
      <c r="G13" s="573">
        <f>F13/12</f>
        <v>98129.71</v>
      </c>
      <c r="H13" s="65">
        <f ca="1">'Q ROO_Calendario'!T15</f>
        <v>516360</v>
      </c>
      <c r="I13" s="65">
        <f>'Q ROO_Calendario'!T16</f>
        <v>223243.29</v>
      </c>
      <c r="J13" s="73">
        <f ca="1">H13-I13</f>
        <v>293116.70999999996</v>
      </c>
      <c r="K13" s="74">
        <f ca="1">+J13/H13*100</f>
        <v>56.765959795491504</v>
      </c>
      <c r="L13" s="75">
        <f ca="1">+I13/H13*100</f>
        <v>43.234040204508482</v>
      </c>
      <c r="M13" s="574" t="s">
        <v>726</v>
      </c>
      <c r="P13" s="279"/>
      <c r="Q13" s="279"/>
      <c r="R13" s="279"/>
    </row>
    <row r="14" spans="1:18" ht="93" customHeight="1" x14ac:dyDescent="0.25">
      <c r="A14" s="565">
        <v>245901</v>
      </c>
      <c r="B14" s="562">
        <v>380200</v>
      </c>
      <c r="C14" s="24">
        <f>COUNT(#REF!)</f>
        <v>0</v>
      </c>
      <c r="D14" s="135" t="s">
        <v>720</v>
      </c>
      <c r="E14" s="571" t="s">
        <v>721</v>
      </c>
      <c r="F14" s="572">
        <f>'Q ROO_Calendario'!F17:F17</f>
        <v>453791.99999999994</v>
      </c>
      <c r="G14" s="573">
        <f>F14/12</f>
        <v>37815.999999999993</v>
      </c>
      <c r="H14" s="65">
        <f ca="1">'Q ROO_Calendario'!T17</f>
        <v>340343.99999999994</v>
      </c>
      <c r="I14" s="65">
        <f>'Q ROO_Calendario'!T18</f>
        <v>260792.01999999996</v>
      </c>
      <c r="J14" s="107">
        <f ca="1">H14-I14</f>
        <v>79551.979999999981</v>
      </c>
      <c r="K14" s="108">
        <f ca="1">+J14/H14*100</f>
        <v>23.37399219613097</v>
      </c>
      <c r="L14" s="109">
        <f ca="1">+I14/H14*100</f>
        <v>76.62600780386903</v>
      </c>
      <c r="M14" s="574" t="s">
        <v>726</v>
      </c>
      <c r="P14" s="279"/>
      <c r="Q14" s="279"/>
      <c r="R14" s="279"/>
    </row>
    <row r="15" spans="1:18" ht="93.75" customHeight="1" thickBot="1" x14ac:dyDescent="0.3">
      <c r="A15" s="4">
        <v>248004</v>
      </c>
      <c r="B15" s="4">
        <v>150900</v>
      </c>
      <c r="C15" s="24">
        <f>COUNT(#REF!)</f>
        <v>0</v>
      </c>
      <c r="D15" s="143" t="s">
        <v>723</v>
      </c>
      <c r="E15" s="576" t="s">
        <v>724</v>
      </c>
      <c r="F15" s="572">
        <f>'Q ROO_Calendario'!F19:F19</f>
        <v>4300841.5199999996</v>
      </c>
      <c r="G15" s="577">
        <f>+'[41]Q ROO'!$K$18</f>
        <v>358403.46</v>
      </c>
      <c r="H15" s="65">
        <f ca="1">'Q ROO_Calendario'!T19</f>
        <v>3225636</v>
      </c>
      <c r="I15" s="65">
        <f>'Q ROO_Calendario'!T20</f>
        <v>2867227.68</v>
      </c>
      <c r="J15" s="126">
        <f ca="1">H15-I15</f>
        <v>358408.31999999983</v>
      </c>
      <c r="K15" s="69">
        <f ca="1">+J15/H15*100</f>
        <v>11.111245038187812</v>
      </c>
      <c r="L15" s="83">
        <f ca="1">+I15/H15*100</f>
        <v>88.888754961812182</v>
      </c>
      <c r="M15" s="574" t="s">
        <v>987</v>
      </c>
      <c r="P15" s="279"/>
      <c r="Q15" s="279"/>
      <c r="R15" s="279"/>
    </row>
    <row r="16" spans="1:18" ht="31.5" customHeight="1" thickBot="1" x14ac:dyDescent="0.3">
      <c r="B16" s="568">
        <v>4</v>
      </c>
      <c r="E16" s="578" t="s">
        <v>727</v>
      </c>
      <c r="F16" s="32">
        <f>SUM(F12:F15)</f>
        <v>6001790.0399999991</v>
      </c>
      <c r="G16" s="215">
        <f>SUM(G14:G15)</f>
        <v>396219.46</v>
      </c>
      <c r="H16" s="215">
        <f ca="1">SUM(H12:H15)</f>
        <v>4134540</v>
      </c>
      <c r="I16" s="215">
        <f>SUM(I12:I15)</f>
        <v>3371262.99</v>
      </c>
      <c r="J16" s="548">
        <f ca="1">H16-I16</f>
        <v>763277.00999999978</v>
      </c>
      <c r="K16" s="150">
        <f ca="1">+J16/H16*100</f>
        <v>18.46098985618714</v>
      </c>
      <c r="L16" s="151">
        <f ca="1">+I16/H16*100</f>
        <v>81.53901014381286</v>
      </c>
      <c r="M16" s="70"/>
      <c r="O16" s="575"/>
      <c r="P16" s="279"/>
      <c r="Q16" s="279"/>
      <c r="R16" s="279"/>
    </row>
    <row r="17" spans="9:18" ht="31.5" customHeight="1" x14ac:dyDescent="0.25">
      <c r="I17" s="2"/>
      <c r="O17" s="575"/>
      <c r="P17" s="279"/>
      <c r="Q17" s="279"/>
      <c r="R17" s="279"/>
    </row>
    <row r="18" spans="9:18" x14ac:dyDescent="0.25">
      <c r="I18" s="2"/>
      <c r="O18" s="575"/>
      <c r="P18" s="279"/>
      <c r="Q18" s="279"/>
      <c r="R18" s="279"/>
    </row>
    <row r="19" spans="9:18" x14ac:dyDescent="0.25">
      <c r="I19" s="2"/>
      <c r="O19" s="575"/>
      <c r="P19" s="279"/>
      <c r="Q19" s="279"/>
      <c r="R19" s="279"/>
    </row>
    <row r="20" spans="9:18" x14ac:dyDescent="0.25">
      <c r="I20" s="2"/>
      <c r="O20" s="575"/>
      <c r="P20" s="279"/>
      <c r="Q20" s="279"/>
      <c r="R20" s="279"/>
    </row>
    <row r="21" spans="9:18" x14ac:dyDescent="0.25">
      <c r="I21" s="2"/>
      <c r="O21" s="575"/>
      <c r="P21" s="279"/>
      <c r="Q21" s="279"/>
      <c r="R21" s="279"/>
    </row>
    <row r="22" spans="9:18" x14ac:dyDescent="0.25">
      <c r="I22" s="2"/>
      <c r="O22" s="575"/>
      <c r="P22" s="279"/>
      <c r="Q22" s="279"/>
      <c r="R22" s="279"/>
    </row>
    <row r="23" spans="9:18" x14ac:dyDescent="0.25">
      <c r="I23" s="2"/>
      <c r="O23" s="575"/>
      <c r="P23" s="279"/>
      <c r="Q23" s="279"/>
      <c r="R23" s="279"/>
    </row>
    <row r="24" spans="9:18" x14ac:dyDescent="0.25">
      <c r="I24" s="2"/>
      <c r="Q24" s="9"/>
      <c r="R24" s="192"/>
    </row>
    <row r="25" spans="9:18" x14ac:dyDescent="0.25">
      <c r="I25" s="2"/>
    </row>
    <row r="26" spans="9:18" x14ac:dyDescent="0.25">
      <c r="I26" s="2"/>
    </row>
    <row r="27" spans="9:18" x14ac:dyDescent="0.25">
      <c r="I27" s="2"/>
    </row>
    <row r="28" spans="9:18" x14ac:dyDescent="0.25">
      <c r="I28" s="2"/>
    </row>
    <row r="29" spans="9:18" x14ac:dyDescent="0.25">
      <c r="I29" s="2"/>
    </row>
    <row r="30" spans="9:18" x14ac:dyDescent="0.25">
      <c r="I30" s="2"/>
    </row>
    <row r="31" spans="9:18" x14ac:dyDescent="0.25">
      <c r="I31" s="2"/>
    </row>
    <row r="32" spans="9:18" x14ac:dyDescent="0.25">
      <c r="I32" s="2"/>
    </row>
    <row r="33" spans="9:9" x14ac:dyDescent="0.25">
      <c r="I33" s="2"/>
    </row>
    <row r="34" spans="9:9" x14ac:dyDescent="0.25">
      <c r="I34" s="2"/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3" fitToHeight="21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view="pageBreakPreview" zoomScale="80" zoomScaleNormal="100" zoomScaleSheetLayoutView="80" zoomScalePageLayoutView="80" workbookViewId="0">
      <pane xSplit="7" ySplit="12" topLeftCell="H13" activePane="bottomRight" state="frozen"/>
      <selection pane="topRight" activeCell="H1" sqref="H1"/>
      <selection pane="bottomLeft" activeCell="A12" sqref="A12"/>
      <selection pane="bottomRight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18.7109375" customWidth="1"/>
    <col min="7" max="7" width="11.5703125" customWidth="1"/>
    <col min="8" max="8" width="16.5703125" customWidth="1"/>
    <col min="9" max="9" width="16.7109375" customWidth="1"/>
    <col min="10" max="10" width="15.85546875" customWidth="1"/>
    <col min="11" max="11" width="16" customWidth="1"/>
    <col min="12" max="12" width="16.5703125" customWidth="1"/>
    <col min="13" max="13" width="18.42578125" customWidth="1"/>
    <col min="14" max="14" width="16.7109375" customWidth="1"/>
    <col min="15" max="15" width="16.85546875" customWidth="1"/>
    <col min="16" max="16" width="17" customWidth="1"/>
    <col min="17" max="17" width="16.5703125" customWidth="1"/>
    <col min="18" max="19" width="17.4257812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143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48.75" customHeight="1" thickTop="1" thickBot="1" x14ac:dyDescent="0.3">
      <c r="A13" s="745">
        <v>142902</v>
      </c>
      <c r="B13" s="560">
        <v>242422</v>
      </c>
      <c r="C13" s="561" t="s">
        <v>713</v>
      </c>
      <c r="D13" s="873" t="s">
        <v>714</v>
      </c>
      <c r="E13" s="1001" t="s">
        <v>715</v>
      </c>
      <c r="F13" s="918">
        <f>SUM(H13:S13)</f>
        <v>69600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10000</v>
      </c>
      <c r="K13" s="166">
        <f t="shared" si="0"/>
        <v>0</v>
      </c>
      <c r="L13" s="166">
        <f t="shared" si="0"/>
        <v>10000</v>
      </c>
      <c r="M13" s="166">
        <f t="shared" si="0"/>
        <v>0</v>
      </c>
      <c r="N13" s="166">
        <f t="shared" si="0"/>
        <v>0</v>
      </c>
      <c r="O13" s="166">
        <f t="shared" si="0"/>
        <v>0</v>
      </c>
      <c r="P13" s="166">
        <f t="shared" si="0"/>
        <v>0</v>
      </c>
      <c r="Q13" s="166">
        <f t="shared" si="0"/>
        <v>32200</v>
      </c>
      <c r="R13" s="166">
        <f t="shared" si="0"/>
        <v>5800</v>
      </c>
      <c r="S13" s="166">
        <f t="shared" si="0"/>
        <v>11600</v>
      </c>
      <c r="T13" s="185">
        <f ca="1">SUM($H13:(OFFSET($H13,0,AVANCE060826!$T$2)))</f>
        <v>52200</v>
      </c>
      <c r="U13" s="903" t="s">
        <v>716</v>
      </c>
    </row>
    <row r="14" spans="1:21" ht="48.75" customHeight="1" thickTop="1" x14ac:dyDescent="0.25">
      <c r="A14" s="745">
        <v>142902</v>
      </c>
      <c r="B14" s="560">
        <v>242422</v>
      </c>
      <c r="C14" s="561"/>
      <c r="D14" s="873"/>
      <c r="E14" s="1001"/>
      <c r="F14" s="918"/>
      <c r="G14" s="166" t="s">
        <v>53</v>
      </c>
      <c r="H14" s="166"/>
      <c r="I14" s="166">
        <f t="shared" ref="I14:S14" si="1">VLOOKUP($A14&amp;$B14&amp;I$10,Base,9,FALSE)</f>
        <v>0</v>
      </c>
      <c r="J14" s="166">
        <f t="shared" si="1"/>
        <v>10000</v>
      </c>
      <c r="K14" s="166">
        <f t="shared" si="1"/>
        <v>0</v>
      </c>
      <c r="L14" s="166">
        <f t="shared" si="1"/>
        <v>10000</v>
      </c>
      <c r="M14" s="166">
        <f t="shared" si="1"/>
        <v>0</v>
      </c>
      <c r="N14" s="166">
        <f t="shared" si="1"/>
        <v>0</v>
      </c>
      <c r="O14" s="166">
        <f t="shared" si="1"/>
        <v>0</v>
      </c>
      <c r="P14" s="166">
        <f t="shared" si="1"/>
        <v>0</v>
      </c>
      <c r="Q14" s="166">
        <f t="shared" si="1"/>
        <v>0</v>
      </c>
      <c r="R14" s="166">
        <f t="shared" si="1"/>
        <v>0</v>
      </c>
      <c r="S14" s="166">
        <f t="shared" si="1"/>
        <v>0</v>
      </c>
      <c r="T14" s="185">
        <f t="shared" ref="T14:T22" si="2">SUM(H14:S14)</f>
        <v>20000</v>
      </c>
      <c r="U14" s="903"/>
    </row>
    <row r="15" spans="1:21" ht="48.75" customHeight="1" x14ac:dyDescent="0.25">
      <c r="A15" s="562">
        <v>900110</v>
      </c>
      <c r="B15" s="562">
        <v>249101</v>
      </c>
      <c r="C15" s="563" t="s">
        <v>717</v>
      </c>
      <c r="D15" s="873" t="s">
        <v>718</v>
      </c>
      <c r="E15" s="1001" t="s">
        <v>384</v>
      </c>
      <c r="F15" s="918">
        <f>SUM(H15:S15)</f>
        <v>1177556.52</v>
      </c>
      <c r="G15" s="166" t="s">
        <v>52</v>
      </c>
      <c r="H15" s="166"/>
      <c r="I15" s="166">
        <f t="shared" ref="I15:S15" si="3">VLOOKUP($A15&amp;$B15&amp;I$10,Base,8,FALSE)</f>
        <v>0</v>
      </c>
      <c r="J15" s="166">
        <f t="shared" si="3"/>
        <v>63783.8</v>
      </c>
      <c r="K15" s="166">
        <f t="shared" si="3"/>
        <v>31891.9</v>
      </c>
      <c r="L15" s="166">
        <f t="shared" si="3"/>
        <v>31891.9</v>
      </c>
      <c r="M15" s="166">
        <f t="shared" si="3"/>
        <v>0</v>
      </c>
      <c r="N15" s="166">
        <f t="shared" si="3"/>
        <v>0</v>
      </c>
      <c r="O15" s="166">
        <f t="shared" si="3"/>
        <v>95675.69</v>
      </c>
      <c r="P15" s="166">
        <f t="shared" si="3"/>
        <v>0</v>
      </c>
      <c r="Q15" s="166">
        <f t="shared" si="3"/>
        <v>293116.71000000002</v>
      </c>
      <c r="R15" s="166">
        <f t="shared" si="3"/>
        <v>220400</v>
      </c>
      <c r="S15" s="166">
        <f t="shared" si="3"/>
        <v>440796.52</v>
      </c>
      <c r="T15" s="185">
        <f ca="1">SUM($H15:(OFFSET($H15,0,AVANCE060826!$T$2)))</f>
        <v>516360</v>
      </c>
      <c r="U15" s="876" t="s">
        <v>719</v>
      </c>
    </row>
    <row r="16" spans="1:21" ht="48.75" customHeight="1" thickBot="1" x14ac:dyDescent="0.3">
      <c r="A16" s="562">
        <v>900110</v>
      </c>
      <c r="B16" s="562">
        <v>249101</v>
      </c>
      <c r="C16" s="564"/>
      <c r="D16" s="873"/>
      <c r="E16" s="1001"/>
      <c r="F16" s="918"/>
      <c r="G16" s="166" t="s">
        <v>53</v>
      </c>
      <c r="H16" s="166"/>
      <c r="I16" s="166">
        <f t="shared" ref="I16:S16" si="4">VLOOKUP($A16&amp;$B16&amp;I$10,Base,9,FALSE)</f>
        <v>0</v>
      </c>
      <c r="J16" s="166">
        <f t="shared" si="4"/>
        <v>63783.8</v>
      </c>
      <c r="K16" s="166">
        <f t="shared" si="4"/>
        <v>31891.9</v>
      </c>
      <c r="L16" s="166">
        <f t="shared" si="4"/>
        <v>31891.9</v>
      </c>
      <c r="M16" s="166">
        <f t="shared" si="4"/>
        <v>0</v>
      </c>
      <c r="N16" s="166">
        <f t="shared" si="4"/>
        <v>0</v>
      </c>
      <c r="O16" s="166">
        <f t="shared" si="4"/>
        <v>95675.69</v>
      </c>
      <c r="P16" s="166">
        <f t="shared" si="4"/>
        <v>0</v>
      </c>
      <c r="Q16" s="166">
        <f t="shared" si="4"/>
        <v>0</v>
      </c>
      <c r="R16" s="166">
        <f t="shared" si="4"/>
        <v>0</v>
      </c>
      <c r="S16" s="166">
        <f t="shared" si="4"/>
        <v>0</v>
      </c>
      <c r="T16" s="185">
        <f t="shared" si="2"/>
        <v>223243.29</v>
      </c>
      <c r="U16" s="876"/>
    </row>
    <row r="17" spans="1:21" ht="48.75" customHeight="1" thickTop="1" x14ac:dyDescent="0.25">
      <c r="A17" s="562">
        <v>380200</v>
      </c>
      <c r="B17" s="565">
        <v>245901</v>
      </c>
      <c r="C17" s="566" t="s">
        <v>717</v>
      </c>
      <c r="D17" s="873" t="s">
        <v>720</v>
      </c>
      <c r="E17" s="1001" t="s">
        <v>721</v>
      </c>
      <c r="F17" s="918">
        <f>SUM(H17:S17)</f>
        <v>453791.99999999994</v>
      </c>
      <c r="G17" s="166" t="s">
        <v>52</v>
      </c>
      <c r="H17" s="166"/>
      <c r="I17" s="166">
        <f t="shared" ref="I17:S17" si="5">VLOOKUP($A17&amp;$B17&amp;I$10,Base,8,FALSE)</f>
        <v>0</v>
      </c>
      <c r="J17" s="166">
        <f t="shared" si="5"/>
        <v>0</v>
      </c>
      <c r="K17" s="166">
        <f t="shared" si="5"/>
        <v>0</v>
      </c>
      <c r="L17" s="166">
        <f t="shared" si="5"/>
        <v>130395.44</v>
      </c>
      <c r="M17" s="166">
        <f t="shared" si="5"/>
        <v>32598.86</v>
      </c>
      <c r="N17" s="166">
        <f t="shared" si="5"/>
        <v>32598.86</v>
      </c>
      <c r="O17" s="166">
        <f t="shared" si="5"/>
        <v>32598.86</v>
      </c>
      <c r="P17" s="166">
        <f t="shared" si="5"/>
        <v>32600</v>
      </c>
      <c r="Q17" s="166">
        <f t="shared" si="5"/>
        <v>79551.98</v>
      </c>
      <c r="R17" s="166">
        <f t="shared" si="5"/>
        <v>37816</v>
      </c>
      <c r="S17" s="166">
        <f t="shared" si="5"/>
        <v>75632</v>
      </c>
      <c r="T17" s="185">
        <f ca="1">SUM($H17:(OFFSET($H17,0,AVANCE060826!$T$2)))</f>
        <v>340343.99999999994</v>
      </c>
      <c r="U17" s="876" t="s">
        <v>722</v>
      </c>
    </row>
    <row r="18" spans="1:21" ht="48.75" customHeight="1" x14ac:dyDescent="0.25">
      <c r="A18" s="562">
        <v>380200</v>
      </c>
      <c r="B18" s="565">
        <v>245901</v>
      </c>
      <c r="C18" s="569"/>
      <c r="D18" s="873"/>
      <c r="E18" s="1001"/>
      <c r="F18" s="918"/>
      <c r="G18" s="166" t="s">
        <v>53</v>
      </c>
      <c r="H18" s="166"/>
      <c r="I18" s="166">
        <f t="shared" ref="I18:S18" si="6">VLOOKUP($A18&amp;$B18&amp;I$10,Base,9,FALSE)</f>
        <v>0</v>
      </c>
      <c r="J18" s="166">
        <f t="shared" si="6"/>
        <v>0</v>
      </c>
      <c r="K18" s="166">
        <f t="shared" si="6"/>
        <v>0</v>
      </c>
      <c r="L18" s="166">
        <f t="shared" si="6"/>
        <v>130395.44</v>
      </c>
      <c r="M18" s="166">
        <f t="shared" si="6"/>
        <v>32598.86</v>
      </c>
      <c r="N18" s="166">
        <f t="shared" si="6"/>
        <v>32598.86</v>
      </c>
      <c r="O18" s="166">
        <f t="shared" si="6"/>
        <v>32598.86</v>
      </c>
      <c r="P18" s="166">
        <f t="shared" si="6"/>
        <v>32600</v>
      </c>
      <c r="Q18" s="166">
        <f t="shared" si="6"/>
        <v>0</v>
      </c>
      <c r="R18" s="166">
        <f t="shared" si="6"/>
        <v>0</v>
      </c>
      <c r="S18" s="166">
        <f t="shared" si="6"/>
        <v>0</v>
      </c>
      <c r="T18" s="185">
        <f t="shared" si="2"/>
        <v>260792.01999999996</v>
      </c>
      <c r="U18" s="876"/>
    </row>
    <row r="19" spans="1:21" ht="48.75" customHeight="1" x14ac:dyDescent="0.25">
      <c r="A19" s="568">
        <v>150900</v>
      </c>
      <c r="B19" s="567">
        <v>248004</v>
      </c>
      <c r="C19" s="569"/>
      <c r="D19" s="873" t="s">
        <v>723</v>
      </c>
      <c r="E19" s="1001" t="s">
        <v>724</v>
      </c>
      <c r="F19" s="918">
        <f>SUM(H19:S19)</f>
        <v>4300841.5199999996</v>
      </c>
      <c r="G19" s="166" t="s">
        <v>52</v>
      </c>
      <c r="H19" s="166"/>
      <c r="I19" s="166">
        <f t="shared" ref="I19:S19" si="7">VLOOKUP($A19&amp;$B19&amp;I$10,Base,8,FALSE)</f>
        <v>0</v>
      </c>
      <c r="J19" s="166">
        <f t="shared" si="7"/>
        <v>0</v>
      </c>
      <c r="K19" s="166">
        <f t="shared" si="7"/>
        <v>0</v>
      </c>
      <c r="L19" s="166">
        <f t="shared" si="7"/>
        <v>0</v>
      </c>
      <c r="M19" s="166">
        <f t="shared" si="7"/>
        <v>1792017.3</v>
      </c>
      <c r="N19" s="166">
        <f t="shared" si="7"/>
        <v>358403.46</v>
      </c>
      <c r="O19" s="166">
        <f t="shared" si="7"/>
        <v>358403.46</v>
      </c>
      <c r="P19" s="166">
        <f t="shared" si="7"/>
        <v>358403.46</v>
      </c>
      <c r="Q19" s="166">
        <f t="shared" si="7"/>
        <v>358408.32</v>
      </c>
      <c r="R19" s="166">
        <f t="shared" si="7"/>
        <v>358404</v>
      </c>
      <c r="S19" s="166">
        <f t="shared" si="7"/>
        <v>716801.52</v>
      </c>
      <c r="T19" s="185">
        <f ca="1">SUM($H19:(OFFSET($H19,0,AVANCE060826!$T$2)))</f>
        <v>3225636</v>
      </c>
      <c r="U19" s="876" t="s">
        <v>716</v>
      </c>
    </row>
    <row r="20" spans="1:21" ht="48.75" customHeight="1" x14ac:dyDescent="0.25">
      <c r="A20" s="568">
        <v>150900</v>
      </c>
      <c r="B20" s="567">
        <v>248004</v>
      </c>
      <c r="C20" s="569"/>
      <c r="D20" s="873"/>
      <c r="E20" s="1001"/>
      <c r="F20" s="918"/>
      <c r="G20" s="166" t="s">
        <v>53</v>
      </c>
      <c r="H20" s="166"/>
      <c r="I20" s="166">
        <f t="shared" ref="I20:S20" si="8">VLOOKUP($A20&amp;$B20&amp;I$10,Base,9,FALSE)</f>
        <v>0</v>
      </c>
      <c r="J20" s="166">
        <f t="shared" si="8"/>
        <v>0</v>
      </c>
      <c r="K20" s="166">
        <f t="shared" si="8"/>
        <v>0</v>
      </c>
      <c r="L20" s="166">
        <f t="shared" si="8"/>
        <v>0</v>
      </c>
      <c r="M20" s="166">
        <f t="shared" si="8"/>
        <v>1792017.3</v>
      </c>
      <c r="N20" s="166">
        <f t="shared" si="8"/>
        <v>358403.46</v>
      </c>
      <c r="O20" s="166">
        <f t="shared" si="8"/>
        <v>358403.46</v>
      </c>
      <c r="P20" s="166">
        <f t="shared" si="8"/>
        <v>358403.46</v>
      </c>
      <c r="Q20" s="166">
        <f t="shared" si="8"/>
        <v>0</v>
      </c>
      <c r="R20" s="166">
        <f t="shared" si="8"/>
        <v>0</v>
      </c>
      <c r="S20" s="166">
        <f t="shared" si="8"/>
        <v>0</v>
      </c>
      <c r="T20" s="185">
        <f t="shared" si="2"/>
        <v>2867227.68</v>
      </c>
      <c r="U20" s="876"/>
    </row>
    <row r="21" spans="1:21" x14ac:dyDescent="0.25">
      <c r="A21" s="4">
        <v>4</v>
      </c>
      <c r="B21" s="4"/>
      <c r="C21" s="24">
        <f>COUNT(#REF!)</f>
        <v>0</v>
      </c>
      <c r="D21" s="7"/>
      <c r="E21" s="6"/>
      <c r="F21" s="176">
        <f>SUM(F13:F20)</f>
        <v>6001790.0399999991</v>
      </c>
      <c r="G21" s="176">
        <f>SUM(G13:G17)</f>
        <v>0</v>
      </c>
      <c r="H21" s="176">
        <f t="shared" ref="H21:O22" si="9">+H17+H15+H13+H19</f>
        <v>0</v>
      </c>
      <c r="I21" s="176">
        <f t="shared" si="9"/>
        <v>0</v>
      </c>
      <c r="J21" s="176">
        <f t="shared" si="9"/>
        <v>73783.8</v>
      </c>
      <c r="K21" s="176">
        <f t="shared" si="9"/>
        <v>31891.9</v>
      </c>
      <c r="L21" s="176">
        <f t="shared" si="9"/>
        <v>172287.34</v>
      </c>
      <c r="M21" s="176">
        <f t="shared" si="9"/>
        <v>1824616.1600000001</v>
      </c>
      <c r="N21" s="176">
        <f t="shared" si="9"/>
        <v>391002.32</v>
      </c>
      <c r="O21" s="176">
        <f t="shared" si="9"/>
        <v>486678.01</v>
      </c>
      <c r="P21" s="176">
        <f>+P17+P15+P13+P19</f>
        <v>391003.46</v>
      </c>
      <c r="Q21" s="176">
        <f>+Q17+Q15+Q13+Q19</f>
        <v>763277.01</v>
      </c>
      <c r="R21" s="176">
        <f>+R17+R15+R13+R19</f>
        <v>622420</v>
      </c>
      <c r="S21" s="176">
        <f>+S17+S15+S13+S19</f>
        <v>1244830.04</v>
      </c>
      <c r="T21" s="185">
        <f t="shared" si="2"/>
        <v>6001790.04</v>
      </c>
      <c r="U21" s="5"/>
    </row>
    <row r="22" spans="1:21" ht="31.5" customHeight="1" x14ac:dyDescent="0.25">
      <c r="F22" s="3"/>
      <c r="G22" s="3"/>
      <c r="H22" s="176">
        <f t="shared" si="9"/>
        <v>0</v>
      </c>
      <c r="I22" s="176">
        <f t="shared" si="9"/>
        <v>0</v>
      </c>
      <c r="J22" s="176">
        <f t="shared" ref="J22:O22" si="10">+J14+J16+J18+J20</f>
        <v>73783.8</v>
      </c>
      <c r="K22" s="176">
        <f t="shared" si="10"/>
        <v>31891.9</v>
      </c>
      <c r="L22" s="176">
        <f t="shared" si="10"/>
        <v>172287.34</v>
      </c>
      <c r="M22" s="176">
        <f t="shared" si="10"/>
        <v>1824616.1600000001</v>
      </c>
      <c r="N22" s="176">
        <f t="shared" si="10"/>
        <v>391002.32</v>
      </c>
      <c r="O22" s="176">
        <f t="shared" si="10"/>
        <v>486678.01</v>
      </c>
      <c r="P22" s="176">
        <f>+P14+P16+P18+P20</f>
        <v>391003.46</v>
      </c>
      <c r="Q22" s="176">
        <f>+Q14+Q16+Q18+Q20</f>
        <v>0</v>
      </c>
      <c r="R22" s="176">
        <f>+R14+R16+R18+R20</f>
        <v>0</v>
      </c>
      <c r="S22" s="176">
        <f>+S14+S16+S18+S20</f>
        <v>0</v>
      </c>
      <c r="T22" s="185">
        <f t="shared" si="2"/>
        <v>3371262.99</v>
      </c>
      <c r="U22" s="857"/>
    </row>
    <row r="23" spans="1:21" ht="31.5" customHeight="1" x14ac:dyDescent="0.25">
      <c r="T23" s="166"/>
      <c r="U23" s="857"/>
    </row>
    <row r="24" spans="1:21" ht="31.5" customHeight="1" x14ac:dyDescent="0.25"/>
  </sheetData>
  <mergeCells count="37">
    <mergeCell ref="D19:D20"/>
    <mergeCell ref="E19:E20"/>
    <mergeCell ref="F19:F20"/>
    <mergeCell ref="U19:U20"/>
    <mergeCell ref="U22:U23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6" fitToHeight="21" orientation="landscape" r:id="rId1"/>
  <ignoredErrors>
    <ignoredError sqref="T14:T18" formula="1"/>
  </ignoredError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showGridLines="0" topLeftCell="A7" zoomScaleNormal="100" zoomScaleSheetLayoutView="85" zoomScalePageLayoutView="80" workbookViewId="0">
      <pane xSplit="1" topLeftCell="E1" activePane="topRight" state="frozen"/>
      <selection pane="topRight" activeCell="N12" sqref="N12:N16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style="192" customWidth="1"/>
    <col min="10" max="10" width="13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7" ht="18" x14ac:dyDescent="0.25">
      <c r="D1" s="10" t="s">
        <v>25</v>
      </c>
      <c r="M1" s="11"/>
    </row>
    <row r="2" spans="1:17" ht="18" x14ac:dyDescent="0.25">
      <c r="D2" s="10" t="s">
        <v>24</v>
      </c>
    </row>
    <row r="3" spans="1:17" ht="18" x14ac:dyDescent="0.25">
      <c r="D3" s="10" t="s">
        <v>23</v>
      </c>
    </row>
    <row r="4" spans="1:17" ht="18" x14ac:dyDescent="0.25">
      <c r="D4" s="10" t="s">
        <v>22</v>
      </c>
      <c r="K4" s="9"/>
      <c r="L4" s="9"/>
    </row>
    <row r="5" spans="1:17" ht="18" x14ac:dyDescent="0.25">
      <c r="D5" s="10" t="s">
        <v>21</v>
      </c>
    </row>
    <row r="6" spans="1:17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7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7" ht="18" x14ac:dyDescent="0.25">
      <c r="D8" s="39" t="s">
        <v>31</v>
      </c>
      <c r="E8" s="10" t="s">
        <v>144</v>
      </c>
      <c r="H8" s="9"/>
    </row>
    <row r="9" spans="1:17" ht="15.75" thickBot="1" x14ac:dyDescent="0.3"/>
    <row r="10" spans="1:17" ht="20.25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36" t="s">
        <v>28</v>
      </c>
      <c r="M10" s="839" t="s">
        <v>14</v>
      </c>
    </row>
    <row r="11" spans="1:17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583" t="s">
        <v>92</v>
      </c>
      <c r="J11" s="153" t="s">
        <v>962</v>
      </c>
      <c r="K11" s="153" t="s">
        <v>29</v>
      </c>
      <c r="L11" s="945"/>
      <c r="M11" s="841"/>
    </row>
    <row r="12" spans="1:17" ht="66" customHeight="1" thickTop="1" x14ac:dyDescent="0.25">
      <c r="A12" s="308">
        <v>252407</v>
      </c>
      <c r="B12" s="308">
        <v>100902</v>
      </c>
      <c r="C12" s="449" t="s">
        <v>728</v>
      </c>
      <c r="D12" s="240" t="s">
        <v>729</v>
      </c>
      <c r="E12" s="349" t="s">
        <v>730</v>
      </c>
      <c r="F12" s="166">
        <f>SLP_Calendario!F13</f>
        <v>104956.92000000001</v>
      </c>
      <c r="G12" s="166">
        <f>+F12/12</f>
        <v>8746.4100000000017</v>
      </c>
      <c r="H12" s="245">
        <f ca="1">SLP_Calendario!T13</f>
        <v>78723.000000000015</v>
      </c>
      <c r="I12" s="245">
        <f>SLP_Calendario!T14</f>
        <v>69971.280000000013</v>
      </c>
      <c r="J12" s="67">
        <f t="shared" ref="J12:J17" ca="1" si="0">H12-I12</f>
        <v>8751.7200000000012</v>
      </c>
      <c r="K12" s="67">
        <f t="shared" ref="K12:K17" ca="1" si="1">+J12/H12*100</f>
        <v>11.117106817575548</v>
      </c>
      <c r="L12" s="74">
        <f t="shared" ref="L12:L17" ca="1" si="2">+I12/H12*100</f>
        <v>88.882893182424453</v>
      </c>
      <c r="M12" s="574" t="s">
        <v>973</v>
      </c>
      <c r="O12" s="9" t="s">
        <v>730</v>
      </c>
      <c r="Q12" s="9"/>
    </row>
    <row r="13" spans="1:17" ht="46.5" customHeight="1" x14ac:dyDescent="0.25">
      <c r="A13" s="346">
        <v>259102</v>
      </c>
      <c r="B13" s="346">
        <v>900110</v>
      </c>
      <c r="C13" s="347" t="s">
        <v>732</v>
      </c>
      <c r="D13" s="240" t="s">
        <v>733</v>
      </c>
      <c r="E13" s="349" t="s">
        <v>190</v>
      </c>
      <c r="F13" s="166">
        <f>SLP_Calendario!F15</f>
        <v>244572.59</v>
      </c>
      <c r="G13" s="166">
        <f>+F13/12</f>
        <v>20381.049166666668</v>
      </c>
      <c r="H13" s="245">
        <f ca="1">SLP_Calendario!T15</f>
        <v>183426.59</v>
      </c>
      <c r="I13" s="245">
        <f>SLP_Calendario!T16</f>
        <v>142667.41</v>
      </c>
      <c r="J13" s="67">
        <f t="shared" ca="1" si="0"/>
        <v>40759.179999999993</v>
      </c>
      <c r="K13" s="67">
        <f t="shared" ca="1" si="1"/>
        <v>22.220976795130952</v>
      </c>
      <c r="L13" s="74">
        <f t="shared" ca="1" si="2"/>
        <v>77.779023204869048</v>
      </c>
      <c r="M13" s="574" t="s">
        <v>420</v>
      </c>
      <c r="O13" s="9"/>
      <c r="Q13" s="9"/>
    </row>
    <row r="14" spans="1:17" ht="46.5" customHeight="1" thickBot="1" x14ac:dyDescent="0.3">
      <c r="A14" s="579">
        <v>259101</v>
      </c>
      <c r="B14" s="346">
        <v>910201</v>
      </c>
      <c r="C14" s="347" t="s">
        <v>734</v>
      </c>
      <c r="D14" s="143" t="s">
        <v>735</v>
      </c>
      <c r="E14" s="354" t="s">
        <v>190</v>
      </c>
      <c r="F14" s="166">
        <f>SLP_Calendario!F17</f>
        <v>63796</v>
      </c>
      <c r="G14" s="303">
        <f>+F14/12</f>
        <v>5316.333333333333</v>
      </c>
      <c r="H14" s="245">
        <f ca="1">SLP_Calendario!T17</f>
        <v>47853</v>
      </c>
      <c r="I14" s="245">
        <f>SLP_Calendario!T18</f>
        <v>47846.52</v>
      </c>
      <c r="J14" s="68">
        <f t="shared" ca="1" si="0"/>
        <v>6.4800000000032014</v>
      </c>
      <c r="K14" s="68">
        <f t="shared" ca="1" si="1"/>
        <v>1.3541470754191379E-2</v>
      </c>
      <c r="L14" s="82">
        <f t="shared" ca="1" si="2"/>
        <v>99.986458529245809</v>
      </c>
      <c r="M14" s="574" t="s">
        <v>973</v>
      </c>
      <c r="O14" s="9" t="s">
        <v>190</v>
      </c>
      <c r="Q14" s="9"/>
    </row>
    <row r="15" spans="1:17" ht="60.75" customHeight="1" thickBot="1" x14ac:dyDescent="0.3">
      <c r="A15" s="579">
        <v>259001</v>
      </c>
      <c r="B15" s="582" t="s">
        <v>37</v>
      </c>
      <c r="C15" s="347"/>
      <c r="D15" s="212" t="s">
        <v>740</v>
      </c>
      <c r="E15" s="584" t="s">
        <v>737</v>
      </c>
      <c r="F15" s="166">
        <f>SLP_Calendario!F23</f>
        <v>389760</v>
      </c>
      <c r="G15" s="518">
        <f>+F15/12</f>
        <v>32480</v>
      </c>
      <c r="H15" s="245">
        <f ca="1">SLP_Calendario!T23</f>
        <v>292320</v>
      </c>
      <c r="I15" s="245">
        <f>SLP_Calendario!T24</f>
        <v>292319.82</v>
      </c>
      <c r="J15" s="68">
        <f t="shared" ca="1" si="0"/>
        <v>0.17999999999301508</v>
      </c>
      <c r="K15" s="68">
        <f t="shared" ca="1" si="1"/>
        <v>6.1576354677413478E-5</v>
      </c>
      <c r="L15" s="82">
        <f t="shared" ca="1" si="2"/>
        <v>99.999938423645318</v>
      </c>
      <c r="M15" s="574" t="s">
        <v>973</v>
      </c>
      <c r="O15" s="9"/>
      <c r="Q15" s="9"/>
    </row>
    <row r="16" spans="1:17" ht="78.75" customHeight="1" thickBot="1" x14ac:dyDescent="0.3">
      <c r="A16" s="580" t="s">
        <v>741</v>
      </c>
      <c r="B16" s="581">
        <v>73110</v>
      </c>
      <c r="C16" s="347"/>
      <c r="D16" s="212" t="s">
        <v>738</v>
      </c>
      <c r="E16" s="584" t="s">
        <v>255</v>
      </c>
      <c r="F16" s="166">
        <f>SLP_Calendario!F21</f>
        <v>0</v>
      </c>
      <c r="G16" s="518">
        <f>+F16/12</f>
        <v>0</v>
      </c>
      <c r="H16" s="585">
        <f ca="1">SLP_Calendario!T21</f>
        <v>0</v>
      </c>
      <c r="I16" s="585">
        <f>SLP_Calendario!T22</f>
        <v>0</v>
      </c>
      <c r="J16" s="259">
        <f t="shared" ca="1" si="0"/>
        <v>0</v>
      </c>
      <c r="K16" s="259" t="e">
        <f ca="1">+J16/H16*100</f>
        <v>#DIV/0!</v>
      </c>
      <c r="L16" s="259" t="e">
        <f ca="1">+I16/H16*100</f>
        <v>#DIV/0!</v>
      </c>
      <c r="M16" s="260"/>
      <c r="O16" s="9" t="s">
        <v>190</v>
      </c>
      <c r="Q16" s="9"/>
    </row>
    <row r="17" spans="1:17" ht="15.75" thickBot="1" x14ac:dyDescent="0.3">
      <c r="A17" s="4"/>
      <c r="B17" s="4">
        <v>5</v>
      </c>
      <c r="C17" s="24">
        <f>COUNT(#REF!)</f>
        <v>0</v>
      </c>
      <c r="D17" s="7"/>
      <c r="E17" s="6"/>
      <c r="F17" s="32">
        <f>SUM(F12:F16)</f>
        <v>803085.51</v>
      </c>
      <c r="G17" s="32">
        <f>SUM(G12:G16)</f>
        <v>66923.79250000001</v>
      </c>
      <c r="H17" s="32">
        <f ca="1">SUM(H12:H16)</f>
        <v>602322.59000000008</v>
      </c>
      <c r="I17" s="32">
        <f>SUM(I12:I16)</f>
        <v>552805.03</v>
      </c>
      <c r="J17" s="32">
        <f t="shared" ca="1" si="0"/>
        <v>49517.560000000056</v>
      </c>
      <c r="K17" s="150">
        <f t="shared" ca="1" si="1"/>
        <v>8.2211029143037866</v>
      </c>
      <c r="L17" s="151">
        <f t="shared" ca="1" si="2"/>
        <v>91.778897085696215</v>
      </c>
      <c r="M17" s="5"/>
      <c r="O17" s="9"/>
      <c r="Q17" s="9"/>
    </row>
    <row r="18" spans="1:17" ht="31.5" customHeight="1" x14ac:dyDescent="0.25">
      <c r="F18" s="3"/>
      <c r="G18" s="3"/>
      <c r="H18" s="2"/>
      <c r="I18" s="2"/>
      <c r="J18" s="2"/>
      <c r="K18" s="2"/>
      <c r="L18" s="2"/>
      <c r="M18" s="857"/>
      <c r="O18" s="9" t="s">
        <v>737</v>
      </c>
      <c r="Q18" s="9"/>
    </row>
    <row r="19" spans="1:17" ht="31.5" customHeight="1" x14ac:dyDescent="0.25">
      <c r="F19" s="9"/>
      <c r="G19" s="9"/>
      <c r="H19" s="2"/>
      <c r="I19" s="2"/>
      <c r="J19" s="2"/>
      <c r="K19" s="2"/>
      <c r="L19" s="2"/>
      <c r="M19" s="857"/>
      <c r="O19" s="9"/>
      <c r="Q19" s="9"/>
    </row>
    <row r="20" spans="1:17" ht="31.5" customHeight="1" x14ac:dyDescent="0.25">
      <c r="I20" s="2"/>
      <c r="O20" s="9" t="s">
        <v>255</v>
      </c>
      <c r="Q20" s="9"/>
    </row>
    <row r="21" spans="1:17" x14ac:dyDescent="0.25">
      <c r="I21" s="2"/>
      <c r="O21" s="9"/>
      <c r="Q21" s="9"/>
    </row>
    <row r="22" spans="1:17" x14ac:dyDescent="0.25">
      <c r="I22" s="2"/>
      <c r="O22" s="9" t="s">
        <v>739</v>
      </c>
      <c r="Q22" s="9"/>
    </row>
    <row r="23" spans="1:17" x14ac:dyDescent="0.25">
      <c r="I23" s="2"/>
      <c r="O23" s="9"/>
      <c r="Q23" s="9"/>
    </row>
    <row r="24" spans="1:17" x14ac:dyDescent="0.25">
      <c r="I24" s="2"/>
      <c r="O24" s="9"/>
      <c r="Q24" s="9"/>
    </row>
    <row r="25" spans="1:17" x14ac:dyDescent="0.25">
      <c r="I25" s="2"/>
      <c r="O25" s="9"/>
      <c r="P25" s="9"/>
      <c r="Q25" s="9"/>
    </row>
    <row r="26" spans="1:17" x14ac:dyDescent="0.25">
      <c r="I26" s="2"/>
      <c r="Q26" s="192"/>
    </row>
    <row r="27" spans="1:17" x14ac:dyDescent="0.25">
      <c r="I27" s="2"/>
    </row>
    <row r="28" spans="1:17" x14ac:dyDescent="0.25">
      <c r="I28" s="2"/>
    </row>
    <row r="29" spans="1:17" x14ac:dyDescent="0.25">
      <c r="I29" s="2"/>
    </row>
    <row r="30" spans="1:17" x14ac:dyDescent="0.25">
      <c r="I30" s="2"/>
    </row>
    <row r="31" spans="1:17" x14ac:dyDescent="0.25">
      <c r="I31" s="2"/>
    </row>
    <row r="32" spans="1:17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  <row r="36" spans="9:9" x14ac:dyDescent="0.25">
      <c r="I36" s="2"/>
    </row>
    <row r="37" spans="9:9" x14ac:dyDescent="0.25">
      <c r="I37" s="2"/>
    </row>
  </sheetData>
  <mergeCells count="12">
    <mergeCell ref="M10:M11"/>
    <mergeCell ref="M18:M19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4" fitToHeight="21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view="pageBreakPreview" zoomScale="80" zoomScaleNormal="100" zoomScaleSheetLayoutView="80" zoomScalePageLayoutView="80" workbookViewId="0">
      <pane xSplit="6" ySplit="12" topLeftCell="G13" activePane="bottomRight" state="frozen"/>
      <selection pane="topRight" activeCell="G1" sqref="G1"/>
      <selection pane="bottomLeft" activeCell="A12" sqref="A12"/>
      <selection pane="bottomRight" activeCell="N13" sqref="N13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18" customWidth="1"/>
    <col min="7" max="19" width="15" customWidth="1"/>
    <col min="20" max="20" width="19.140625" customWidth="1"/>
    <col min="21" max="21" width="31.425781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144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28.5" customHeight="1" thickTop="1" thickBot="1" x14ac:dyDescent="0.3">
      <c r="A13" s="308">
        <v>100902</v>
      </c>
      <c r="B13" s="308">
        <v>252407</v>
      </c>
      <c r="C13" s="449" t="s">
        <v>728</v>
      </c>
      <c r="D13" s="873" t="s">
        <v>729</v>
      </c>
      <c r="E13" s="943" t="s">
        <v>730</v>
      </c>
      <c r="F13" s="918">
        <f>SUM(H13:S13)</f>
        <v>104956.92000000001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0</v>
      </c>
      <c r="K13" s="166">
        <f t="shared" si="0"/>
        <v>0</v>
      </c>
      <c r="L13" s="166">
        <f t="shared" si="0"/>
        <v>0</v>
      </c>
      <c r="M13" s="166">
        <f t="shared" si="0"/>
        <v>43732.05</v>
      </c>
      <c r="N13" s="166">
        <f t="shared" si="0"/>
        <v>8746.41</v>
      </c>
      <c r="O13" s="166">
        <f t="shared" si="0"/>
        <v>8746.41</v>
      </c>
      <c r="P13" s="166">
        <f t="shared" si="0"/>
        <v>8746.41</v>
      </c>
      <c r="Q13" s="166">
        <f t="shared" si="0"/>
        <v>8751.7199999999993</v>
      </c>
      <c r="R13" s="166">
        <f t="shared" si="0"/>
        <v>8747</v>
      </c>
      <c r="S13" s="166">
        <f t="shared" si="0"/>
        <v>17486.919999999998</v>
      </c>
      <c r="T13" s="185">
        <f ca="1">SUM($H13:(OFFSET($H13,0,AVANCE060826!$T$2)))</f>
        <v>78723.000000000015</v>
      </c>
      <c r="U13" s="934" t="s">
        <v>731</v>
      </c>
    </row>
    <row r="14" spans="1:21" ht="28.5" customHeight="1" thickTop="1" x14ac:dyDescent="0.25">
      <c r="A14" s="308">
        <v>100902</v>
      </c>
      <c r="B14" s="308">
        <v>252407</v>
      </c>
      <c r="C14" s="449"/>
      <c r="D14" s="873"/>
      <c r="E14" s="943"/>
      <c r="F14" s="918"/>
      <c r="G14" s="166" t="s">
        <v>53</v>
      </c>
      <c r="H14" s="166"/>
      <c r="I14" s="166">
        <f t="shared" ref="I14:S14" si="1">VLOOKUP($A14&amp;$B14&amp;I$10,Base,9,FALSE)</f>
        <v>0</v>
      </c>
      <c r="J14" s="166">
        <f t="shared" si="1"/>
        <v>0</v>
      </c>
      <c r="K14" s="166">
        <f t="shared" si="1"/>
        <v>0</v>
      </c>
      <c r="L14" s="166">
        <f t="shared" si="1"/>
        <v>0</v>
      </c>
      <c r="M14" s="166">
        <f t="shared" si="1"/>
        <v>43732.05</v>
      </c>
      <c r="N14" s="166">
        <f t="shared" si="1"/>
        <v>8746.41</v>
      </c>
      <c r="O14" s="166">
        <f t="shared" si="1"/>
        <v>8746.41</v>
      </c>
      <c r="P14" s="166">
        <f t="shared" si="1"/>
        <v>8746.41</v>
      </c>
      <c r="Q14" s="166">
        <f t="shared" si="1"/>
        <v>0</v>
      </c>
      <c r="R14" s="166">
        <f t="shared" si="1"/>
        <v>0</v>
      </c>
      <c r="S14" s="166">
        <f t="shared" si="1"/>
        <v>0</v>
      </c>
      <c r="T14" s="185">
        <f>SUM(H14:S14)</f>
        <v>69971.280000000013</v>
      </c>
      <c r="U14" s="935"/>
    </row>
    <row r="15" spans="1:21" ht="28.5" customHeight="1" x14ac:dyDescent="0.25">
      <c r="A15" s="346">
        <v>900110</v>
      </c>
      <c r="B15" s="346">
        <v>259102</v>
      </c>
      <c r="C15" s="347" t="s">
        <v>732</v>
      </c>
      <c r="D15" s="873" t="s">
        <v>733</v>
      </c>
      <c r="E15" s="943" t="s">
        <v>190</v>
      </c>
      <c r="F15" s="918">
        <f>SUM(H15:S15)</f>
        <v>244572.59</v>
      </c>
      <c r="G15" s="166" t="s">
        <v>52</v>
      </c>
      <c r="H15" s="166"/>
      <c r="I15" s="166">
        <f>IF(((VLOOKUP(I$10,AVANCE060826!$Q$8:$R$19,2,FALSE))&lt;=AVANCE060826!$S$2),$H15,0)</f>
        <v>0</v>
      </c>
      <c r="J15" s="166">
        <f t="shared" ref="J15:S15" si="2">VLOOKUP($A15&amp;$B15&amp;J$10,Base,8,FALSE)</f>
        <v>0</v>
      </c>
      <c r="K15" s="166">
        <f t="shared" si="2"/>
        <v>0</v>
      </c>
      <c r="L15" s="166">
        <f t="shared" si="2"/>
        <v>81524.240000000005</v>
      </c>
      <c r="M15" s="166">
        <f t="shared" si="2"/>
        <v>20381.060000000001</v>
      </c>
      <c r="N15" s="166">
        <f t="shared" si="2"/>
        <v>0</v>
      </c>
      <c r="O15" s="166">
        <f t="shared" si="2"/>
        <v>20381.05</v>
      </c>
      <c r="P15" s="166">
        <f t="shared" si="2"/>
        <v>20381.060000000001</v>
      </c>
      <c r="Q15" s="166">
        <f t="shared" si="2"/>
        <v>40759.18</v>
      </c>
      <c r="R15" s="166">
        <f t="shared" si="2"/>
        <v>20382</v>
      </c>
      <c r="S15" s="166">
        <f t="shared" si="2"/>
        <v>40764</v>
      </c>
      <c r="T15" s="185">
        <f ca="1">SUM($H15:(OFFSET($H15,0,AVANCE060826!$T$2)))</f>
        <v>183426.59</v>
      </c>
      <c r="U15" s="934"/>
    </row>
    <row r="16" spans="1:21" ht="28.5" customHeight="1" x14ac:dyDescent="0.25">
      <c r="A16" s="346">
        <v>900110</v>
      </c>
      <c r="B16" s="346">
        <v>259102</v>
      </c>
      <c r="C16" s="347"/>
      <c r="D16" s="873"/>
      <c r="E16" s="943"/>
      <c r="F16" s="918"/>
      <c r="G16" s="166" t="s">
        <v>53</v>
      </c>
      <c r="H16" s="166"/>
      <c r="I16" s="166">
        <f t="shared" ref="I16:S16" si="3">VLOOKUP($A16&amp;$B16&amp;I$10,Base,9,FALSE)</f>
        <v>0</v>
      </c>
      <c r="J16" s="166">
        <f t="shared" si="3"/>
        <v>0</v>
      </c>
      <c r="K16" s="166">
        <f t="shared" si="3"/>
        <v>0</v>
      </c>
      <c r="L16" s="166">
        <f t="shared" si="3"/>
        <v>81524.240000000005</v>
      </c>
      <c r="M16" s="166">
        <f t="shared" si="3"/>
        <v>20381.060000000001</v>
      </c>
      <c r="N16" s="166">
        <f t="shared" si="3"/>
        <v>0</v>
      </c>
      <c r="O16" s="166">
        <f t="shared" si="3"/>
        <v>20381.05</v>
      </c>
      <c r="P16" s="166">
        <f t="shared" si="3"/>
        <v>20381.060000000001</v>
      </c>
      <c r="Q16" s="166">
        <f t="shared" si="3"/>
        <v>0</v>
      </c>
      <c r="R16" s="166">
        <f t="shared" si="3"/>
        <v>0</v>
      </c>
      <c r="S16" s="166">
        <f t="shared" si="3"/>
        <v>0</v>
      </c>
      <c r="T16" s="185">
        <f>SUM(H16:S16)</f>
        <v>142667.41</v>
      </c>
      <c r="U16" s="935"/>
    </row>
    <row r="17" spans="1:21" ht="28.5" customHeight="1" x14ac:dyDescent="0.25">
      <c r="A17" s="346">
        <v>910201</v>
      </c>
      <c r="B17" s="579">
        <v>259101</v>
      </c>
      <c r="C17" s="347" t="s">
        <v>734</v>
      </c>
      <c r="D17" s="873" t="s">
        <v>735</v>
      </c>
      <c r="E17" s="943" t="s">
        <v>190</v>
      </c>
      <c r="F17" s="918">
        <f>SUM(H17:S17)</f>
        <v>63796</v>
      </c>
      <c r="G17" s="166" t="s">
        <v>52</v>
      </c>
      <c r="H17" s="166"/>
      <c r="I17" s="166">
        <f t="shared" ref="I17:S17" si="4">VLOOKUP($A17&amp;$B17&amp;I$10,Base,8,FALSE)</f>
        <v>0</v>
      </c>
      <c r="J17" s="166">
        <f t="shared" si="4"/>
        <v>0</v>
      </c>
      <c r="K17" s="166">
        <f t="shared" si="4"/>
        <v>0</v>
      </c>
      <c r="L17" s="166">
        <f t="shared" si="4"/>
        <v>21265.119999999999</v>
      </c>
      <c r="M17" s="166">
        <f t="shared" si="4"/>
        <v>5316.28</v>
      </c>
      <c r="N17" s="166">
        <f t="shared" si="4"/>
        <v>5316.28</v>
      </c>
      <c r="O17" s="166">
        <f t="shared" si="4"/>
        <v>5316.28</v>
      </c>
      <c r="P17" s="166">
        <f t="shared" si="4"/>
        <v>5316.28</v>
      </c>
      <c r="Q17" s="166">
        <f t="shared" si="4"/>
        <v>5322.76</v>
      </c>
      <c r="R17" s="166">
        <f t="shared" si="4"/>
        <v>5317</v>
      </c>
      <c r="S17" s="166">
        <f t="shared" si="4"/>
        <v>10626</v>
      </c>
      <c r="T17" s="185">
        <f ca="1">SUM($H17:(OFFSET($H17,0,AVANCE060826!$T$2)))</f>
        <v>47853</v>
      </c>
      <c r="U17" s="334"/>
    </row>
    <row r="18" spans="1:21" ht="28.5" customHeight="1" x14ac:dyDescent="0.25">
      <c r="A18" s="346">
        <v>910201</v>
      </c>
      <c r="B18" s="579">
        <v>259101</v>
      </c>
      <c r="C18" s="347"/>
      <c r="D18" s="873"/>
      <c r="E18" s="943"/>
      <c r="F18" s="918"/>
      <c r="G18" s="166" t="s">
        <v>53</v>
      </c>
      <c r="H18" s="166"/>
      <c r="I18" s="166">
        <f t="shared" ref="I18:S18" si="5">VLOOKUP($A18&amp;$B18&amp;I$10,Base,9,FALSE)</f>
        <v>0</v>
      </c>
      <c r="J18" s="166">
        <f t="shared" si="5"/>
        <v>0</v>
      </c>
      <c r="K18" s="166">
        <f t="shared" si="5"/>
        <v>0</v>
      </c>
      <c r="L18" s="166">
        <f t="shared" si="5"/>
        <v>21265.119999999999</v>
      </c>
      <c r="M18" s="166">
        <f t="shared" si="5"/>
        <v>5316.28</v>
      </c>
      <c r="N18" s="166">
        <f t="shared" si="5"/>
        <v>5316.28</v>
      </c>
      <c r="O18" s="166">
        <f t="shared" si="5"/>
        <v>5316.28</v>
      </c>
      <c r="P18" s="166">
        <f t="shared" si="5"/>
        <v>5316.28</v>
      </c>
      <c r="Q18" s="166">
        <f t="shared" si="5"/>
        <v>5316.28</v>
      </c>
      <c r="R18" s="166">
        <f t="shared" si="5"/>
        <v>0</v>
      </c>
      <c r="S18" s="166">
        <f t="shared" si="5"/>
        <v>0</v>
      </c>
      <c r="T18" s="185">
        <f>SUM(H18:S18)</f>
        <v>47846.52</v>
      </c>
      <c r="U18" s="334"/>
    </row>
    <row r="19" spans="1:21" ht="28.5" hidden="1" customHeight="1" x14ac:dyDescent="0.25">
      <c r="A19" s="346">
        <v>910201</v>
      </c>
      <c r="B19" s="579">
        <v>259101</v>
      </c>
      <c r="C19" s="347" t="s">
        <v>734</v>
      </c>
      <c r="D19" s="873" t="s">
        <v>736</v>
      </c>
      <c r="E19" s="943" t="s">
        <v>737</v>
      </c>
      <c r="F19" s="918"/>
      <c r="G19" s="166" t="s">
        <v>52</v>
      </c>
      <c r="H19" s="166"/>
      <c r="I19" s="166"/>
      <c r="J19" s="166"/>
      <c r="K19" s="166"/>
      <c r="L19" s="166"/>
      <c r="M19" s="166"/>
      <c r="N19" s="166"/>
      <c r="P19" s="166"/>
      <c r="Q19" s="166"/>
      <c r="R19" s="166"/>
      <c r="S19" s="166"/>
      <c r="T19" s="185"/>
      <c r="U19" s="334"/>
    </row>
    <row r="20" spans="1:21" ht="28.5" hidden="1" customHeight="1" x14ac:dyDescent="0.25">
      <c r="A20" s="346"/>
      <c r="B20" s="579"/>
      <c r="C20" s="347"/>
      <c r="D20" s="873"/>
      <c r="E20" s="943"/>
      <c r="F20" s="918"/>
      <c r="G20" s="166" t="s">
        <v>53</v>
      </c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85"/>
      <c r="U20" s="334"/>
    </row>
    <row r="21" spans="1:21" ht="28.5" customHeight="1" x14ac:dyDescent="0.25">
      <c r="A21" s="581">
        <v>73100</v>
      </c>
      <c r="B21" s="580" t="s">
        <v>85</v>
      </c>
      <c r="C21" s="347" t="s">
        <v>734</v>
      </c>
      <c r="D21" s="873" t="s">
        <v>738</v>
      </c>
      <c r="E21" s="943" t="s">
        <v>255</v>
      </c>
      <c r="F21" s="918">
        <f>SUM(H21:S21)</f>
        <v>0</v>
      </c>
      <c r="G21" s="166" t="s">
        <v>52</v>
      </c>
      <c r="H21" s="166"/>
      <c r="I21" s="166">
        <f t="shared" ref="I21:S21" si="6">VLOOKUP($A21&amp;$B21&amp;I$10,Base,8,FALSE)</f>
        <v>0</v>
      </c>
      <c r="J21" s="166">
        <f t="shared" si="6"/>
        <v>0</v>
      </c>
      <c r="K21" s="166">
        <f t="shared" si="6"/>
        <v>0</v>
      </c>
      <c r="L21" s="166">
        <f t="shared" si="6"/>
        <v>0</v>
      </c>
      <c r="M21" s="166">
        <f t="shared" si="6"/>
        <v>0</v>
      </c>
      <c r="N21" s="166">
        <f t="shared" si="6"/>
        <v>0</v>
      </c>
      <c r="O21" s="166">
        <f t="shared" si="6"/>
        <v>0</v>
      </c>
      <c r="P21" s="166">
        <f t="shared" si="6"/>
        <v>0</v>
      </c>
      <c r="Q21" s="166">
        <f t="shared" si="6"/>
        <v>0</v>
      </c>
      <c r="R21" s="166">
        <f t="shared" si="6"/>
        <v>0</v>
      </c>
      <c r="S21" s="166">
        <f t="shared" si="6"/>
        <v>0</v>
      </c>
      <c r="T21" s="185">
        <f ca="1">SUM($H21:(OFFSET($H21,0,AVANCE060826!$T$2)))</f>
        <v>0</v>
      </c>
      <c r="U21" s="934"/>
    </row>
    <row r="22" spans="1:21" ht="28.5" customHeight="1" x14ac:dyDescent="0.25">
      <c r="A22" s="581">
        <v>73100</v>
      </c>
      <c r="B22" s="580" t="s">
        <v>85</v>
      </c>
      <c r="C22" s="347"/>
      <c r="D22" s="873"/>
      <c r="E22" s="943"/>
      <c r="F22" s="918"/>
      <c r="G22" s="166" t="s">
        <v>53</v>
      </c>
      <c r="H22" s="166"/>
      <c r="I22" s="166">
        <f t="shared" ref="I22:S22" si="7">VLOOKUP($A22&amp;$B22&amp;I$10,Base,9,FALSE)</f>
        <v>0</v>
      </c>
      <c r="J22" s="166">
        <f t="shared" si="7"/>
        <v>0</v>
      </c>
      <c r="K22" s="166">
        <f t="shared" si="7"/>
        <v>0</v>
      </c>
      <c r="L22" s="166">
        <f t="shared" si="7"/>
        <v>0</v>
      </c>
      <c r="M22" s="166">
        <f t="shared" si="7"/>
        <v>0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66">
        <f t="shared" si="7"/>
        <v>0</v>
      </c>
      <c r="S22" s="166">
        <f t="shared" si="7"/>
        <v>0</v>
      </c>
      <c r="T22" s="185"/>
      <c r="U22" s="935"/>
    </row>
    <row r="23" spans="1:21" ht="28.5" customHeight="1" x14ac:dyDescent="0.25">
      <c r="A23" s="746">
        <v>500100</v>
      </c>
      <c r="B23" s="579">
        <v>259001</v>
      </c>
      <c r="C23" s="347" t="s">
        <v>734</v>
      </c>
      <c r="D23" s="873" t="s">
        <v>736</v>
      </c>
      <c r="E23" s="943" t="s">
        <v>739</v>
      </c>
      <c r="F23" s="918">
        <f>SUM(H23:S23)</f>
        <v>389760</v>
      </c>
      <c r="G23" s="166" t="s">
        <v>52</v>
      </c>
      <c r="H23" s="166"/>
      <c r="I23" s="166">
        <f t="shared" ref="I23:S23" si="8">VLOOKUP($A23&amp;$B23&amp;I$10,Base,8,FALSE)</f>
        <v>0</v>
      </c>
      <c r="J23" s="166">
        <f t="shared" si="8"/>
        <v>64959.96</v>
      </c>
      <c r="K23" s="166">
        <f t="shared" si="8"/>
        <v>32479.98</v>
      </c>
      <c r="L23" s="166">
        <f t="shared" si="8"/>
        <v>32479.98</v>
      </c>
      <c r="M23" s="166">
        <f t="shared" si="8"/>
        <v>32479.98</v>
      </c>
      <c r="N23" s="166">
        <f t="shared" si="8"/>
        <v>32479.98</v>
      </c>
      <c r="O23" s="166">
        <f t="shared" si="8"/>
        <v>32479.98</v>
      </c>
      <c r="P23" s="166">
        <f t="shared" si="8"/>
        <v>32479.98</v>
      </c>
      <c r="Q23" s="166">
        <f t="shared" si="8"/>
        <v>32480.16</v>
      </c>
      <c r="R23" s="166">
        <f t="shared" si="8"/>
        <v>32480</v>
      </c>
      <c r="S23" s="166">
        <f t="shared" si="8"/>
        <v>64960</v>
      </c>
      <c r="T23" s="185">
        <f ca="1">SUM($H23:(OFFSET($H23,0,AVANCE060826!$T$2)))</f>
        <v>292320</v>
      </c>
      <c r="U23" s="934"/>
    </row>
    <row r="24" spans="1:21" ht="28.5" customHeight="1" x14ac:dyDescent="0.25">
      <c r="A24" s="746">
        <v>500100</v>
      </c>
      <c r="B24" s="579">
        <v>259001</v>
      </c>
      <c r="C24" s="184"/>
      <c r="D24" s="873"/>
      <c r="E24" s="943"/>
      <c r="F24" s="918"/>
      <c r="G24" s="166" t="s">
        <v>53</v>
      </c>
      <c r="H24" s="166"/>
      <c r="I24" s="166">
        <f t="shared" ref="I24:S24" si="9">VLOOKUP($A24&amp;$B24&amp;I$10,Base,9,FALSE)</f>
        <v>0</v>
      </c>
      <c r="J24" s="166">
        <f t="shared" si="9"/>
        <v>64959.96</v>
      </c>
      <c r="K24" s="166">
        <f t="shared" si="9"/>
        <v>32479.98</v>
      </c>
      <c r="L24" s="166">
        <f t="shared" si="9"/>
        <v>32479.98</v>
      </c>
      <c r="M24" s="166">
        <f t="shared" si="9"/>
        <v>32479.98</v>
      </c>
      <c r="N24" s="166">
        <f t="shared" si="9"/>
        <v>32479.98</v>
      </c>
      <c r="O24" s="166">
        <f t="shared" si="9"/>
        <v>32479.98</v>
      </c>
      <c r="P24" s="166">
        <f t="shared" si="9"/>
        <v>32479.98</v>
      </c>
      <c r="Q24" s="166">
        <f t="shared" si="9"/>
        <v>32479.98</v>
      </c>
      <c r="R24" s="166">
        <f t="shared" si="9"/>
        <v>0</v>
      </c>
      <c r="S24" s="166">
        <f t="shared" si="9"/>
        <v>0</v>
      </c>
      <c r="T24" s="185">
        <f>SUM(H24:S24)</f>
        <v>292319.82</v>
      </c>
      <c r="U24" s="935"/>
    </row>
    <row r="25" spans="1:21" x14ac:dyDescent="0.25">
      <c r="A25" s="4">
        <v>5</v>
      </c>
      <c r="B25" s="4"/>
      <c r="C25" s="24">
        <f>COUNT(#REF!)</f>
        <v>0</v>
      </c>
      <c r="D25" s="7"/>
      <c r="E25" s="6"/>
      <c r="F25" s="176">
        <f>SUM(F13:F24)</f>
        <v>803085.51</v>
      </c>
      <c r="G25" s="166" t="s">
        <v>52</v>
      </c>
      <c r="H25" s="176">
        <f>+H23+H21+H15+H13+H17+H19</f>
        <v>0</v>
      </c>
      <c r="I25" s="176">
        <f t="shared" ref="I25:O25" si="10">+I23+I21+I15+I13+I17+I19</f>
        <v>0</v>
      </c>
      <c r="J25" s="176">
        <f t="shared" si="10"/>
        <v>64959.96</v>
      </c>
      <c r="K25" s="176">
        <f t="shared" si="10"/>
        <v>32479.98</v>
      </c>
      <c r="L25" s="176">
        <f t="shared" si="10"/>
        <v>135269.34</v>
      </c>
      <c r="M25" s="176">
        <f t="shared" si="10"/>
        <v>101909.37</v>
      </c>
      <c r="N25" s="176">
        <f t="shared" si="10"/>
        <v>46542.67</v>
      </c>
      <c r="O25" s="176">
        <f t="shared" si="10"/>
        <v>66923.72</v>
      </c>
      <c r="P25" s="176"/>
      <c r="Q25" s="176"/>
      <c r="R25" s="176"/>
      <c r="S25" s="176"/>
      <c r="T25" s="185">
        <f>SUM(H25:S25)</f>
        <v>448085.04000000004</v>
      </c>
      <c r="U25" s="5"/>
    </row>
    <row r="26" spans="1:21" ht="31.5" customHeight="1" x14ac:dyDescent="0.25">
      <c r="F26" s="238"/>
      <c r="G26" s="166" t="s">
        <v>53</v>
      </c>
      <c r="H26" s="176">
        <f t="shared" ref="H26:T26" si="11">+H24+H22+H16+H14+H18+H20</f>
        <v>0</v>
      </c>
      <c r="I26" s="176">
        <f t="shared" si="11"/>
        <v>0</v>
      </c>
      <c r="J26" s="176">
        <f t="shared" si="11"/>
        <v>64959.96</v>
      </c>
      <c r="K26" s="176">
        <f t="shared" si="11"/>
        <v>32479.98</v>
      </c>
      <c r="L26" s="176">
        <f t="shared" si="11"/>
        <v>135269.34</v>
      </c>
      <c r="M26" s="176">
        <f t="shared" si="11"/>
        <v>101909.37</v>
      </c>
      <c r="N26" s="176">
        <f>+N14+N16+N18+N20+N22</f>
        <v>14062.689999999999</v>
      </c>
      <c r="O26" s="176">
        <f>+O14+O16+O18+O20+O22</f>
        <v>34443.74</v>
      </c>
      <c r="P26" s="176"/>
      <c r="Q26" s="176"/>
      <c r="R26" s="176"/>
      <c r="S26" s="176"/>
      <c r="T26" s="176">
        <f t="shared" si="11"/>
        <v>552805.03</v>
      </c>
      <c r="U26" s="857"/>
    </row>
    <row r="27" spans="1:21" ht="31.5" customHeight="1" x14ac:dyDescent="0.25">
      <c r="F27" s="9"/>
      <c r="G27" s="9"/>
      <c r="H27" s="775"/>
      <c r="I27" s="775"/>
      <c r="J27" s="775"/>
      <c r="K27" s="775"/>
      <c r="L27" s="775"/>
      <c r="M27" s="775"/>
      <c r="N27" s="9"/>
      <c r="O27" s="9"/>
      <c r="P27" s="9"/>
      <c r="Q27" s="9"/>
      <c r="R27" s="9"/>
      <c r="S27" s="9"/>
      <c r="T27" s="2"/>
      <c r="U27" s="857"/>
    </row>
    <row r="28" spans="1:21" ht="31.5" customHeight="1" x14ac:dyDescent="0.25">
      <c r="T28" s="9" t="e">
        <f>+GETPIVOTDATA("Suma de Gasto",[42]Hoja2!$A$3,"Uni.Explot",25)-T26</f>
        <v>#REF!</v>
      </c>
    </row>
  </sheetData>
  <mergeCells count="43">
    <mergeCell ref="D23:D24"/>
    <mergeCell ref="E23:E24"/>
    <mergeCell ref="F23:F24"/>
    <mergeCell ref="U26:U27"/>
    <mergeCell ref="U21:U22"/>
    <mergeCell ref="U23:U24"/>
    <mergeCell ref="D19:D20"/>
    <mergeCell ref="E19:E20"/>
    <mergeCell ref="F19:F20"/>
    <mergeCell ref="D21:D22"/>
    <mergeCell ref="E21:E22"/>
    <mergeCell ref="F21:F22"/>
    <mergeCell ref="U15:U16"/>
    <mergeCell ref="D17:D18"/>
    <mergeCell ref="E17:E18"/>
    <mergeCell ref="F17:F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N11:N12"/>
    <mergeCell ref="O11:O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C11:C12"/>
    <mergeCell ref="D11:D12"/>
    <mergeCell ref="E11:E12"/>
    <mergeCell ref="F11:F12"/>
    <mergeCell ref="M11:M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40" fitToHeight="21" orientation="landscape" r:id="rId1"/>
  <ignoredErrors>
    <ignoredError sqref="T14 I19:S20 I15 T16" formula="1"/>
  </ignoredError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topLeftCell="A6" zoomScale="80" zoomScaleNormal="80" zoomScaleSheetLayoutView="100" zoomScalePageLayoutView="80" workbookViewId="0">
      <pane xSplit="1" topLeftCell="B1" activePane="topRight" state="frozen"/>
      <selection activeCell="A4" sqref="A4"/>
      <selection pane="topRight" activeCell="N12" sqref="N12:N25"/>
    </sheetView>
  </sheetViews>
  <sheetFormatPr baseColWidth="10" defaultRowHeight="15" x14ac:dyDescent="0.25"/>
  <cols>
    <col min="1" max="1" width="10.42578125" style="306" customWidth="1"/>
    <col min="2" max="2" width="9.42578125" style="306" customWidth="1"/>
    <col min="3" max="3" width="0.28515625" style="306" customWidth="1"/>
    <col min="4" max="4" width="25.5703125" style="306" customWidth="1"/>
    <col min="5" max="5" width="26.7109375" style="586" customWidth="1"/>
    <col min="6" max="7" width="20.85546875" customWidth="1"/>
    <col min="8" max="8" width="23.28515625" customWidth="1"/>
    <col min="9" max="9" width="20.5703125" style="192" customWidth="1"/>
    <col min="10" max="10" width="19.7109375" customWidth="1"/>
    <col min="11" max="11" width="12.85546875" hidden="1" customWidth="1"/>
    <col min="12" max="12" width="12.7109375" hidden="1" customWidth="1"/>
    <col min="13" max="13" width="35" customWidth="1"/>
    <col min="14" max="14" width="5" customWidth="1"/>
    <col min="15" max="16362" width="11.42578125" customWidth="1"/>
  </cols>
  <sheetData>
    <row r="1" spans="1:13" x14ac:dyDescent="0.25">
      <c r="D1" s="587" t="s">
        <v>25</v>
      </c>
      <c r="M1" s="11"/>
    </row>
    <row r="2" spans="1:13" x14ac:dyDescent="0.25">
      <c r="D2" s="587" t="s">
        <v>24</v>
      </c>
    </row>
    <row r="3" spans="1:13" x14ac:dyDescent="0.25">
      <c r="D3" s="587" t="s">
        <v>23</v>
      </c>
    </row>
    <row r="4" spans="1:13" x14ac:dyDescent="0.25">
      <c r="D4" s="587" t="s">
        <v>22</v>
      </c>
      <c r="K4" s="9"/>
      <c r="L4" s="9"/>
    </row>
    <row r="5" spans="1:13" x14ac:dyDescent="0.25">
      <c r="D5" s="587" t="s">
        <v>21</v>
      </c>
    </row>
    <row r="6" spans="1:13" ht="20.25" x14ac:dyDescent="0.3">
      <c r="D6" s="589" t="s">
        <v>20</v>
      </c>
      <c r="E6" s="588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x14ac:dyDescent="0.25">
      <c r="D8" s="590" t="s">
        <v>31</v>
      </c>
      <c r="E8" s="587" t="s">
        <v>145</v>
      </c>
      <c r="G8" s="192"/>
      <c r="H8" s="9"/>
      <c r="J8" s="9"/>
    </row>
    <row r="9" spans="1:13" ht="15.75" thickBot="1" x14ac:dyDescent="0.3">
      <c r="H9" s="9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1002" t="s">
        <v>15</v>
      </c>
      <c r="F10" s="836" t="s">
        <v>26</v>
      </c>
      <c r="G10" s="837" t="s">
        <v>89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1003"/>
      <c r="F11" s="893"/>
      <c r="G11" s="838"/>
      <c r="H11" s="58" t="s">
        <v>91</v>
      </c>
      <c r="I11" s="570" t="s">
        <v>92</v>
      </c>
      <c r="J11" s="72" t="s">
        <v>962</v>
      </c>
      <c r="K11" s="26" t="s">
        <v>29</v>
      </c>
      <c r="L11" s="838"/>
      <c r="M11" s="867"/>
    </row>
    <row r="12" spans="1:13" ht="62.25" customHeight="1" thickTop="1" x14ac:dyDescent="0.25">
      <c r="A12" s="154">
        <v>260201</v>
      </c>
      <c r="B12" s="308">
        <v>200200</v>
      </c>
      <c r="C12" s="344" t="s">
        <v>742</v>
      </c>
      <c r="D12" s="135" t="s">
        <v>743</v>
      </c>
      <c r="E12" s="600" t="s">
        <v>744</v>
      </c>
      <c r="F12" s="601">
        <f>SIN_Calendario!F13</f>
        <v>225250.64</v>
      </c>
      <c r="G12" s="602">
        <f>16181.31*1.16</f>
        <v>18770.319599999999</v>
      </c>
      <c r="H12" s="65">
        <f ca="1">SIN_Calendario!T13</f>
        <v>168939.00000000003</v>
      </c>
      <c r="I12" s="65">
        <f>SIN_Calendario!T14</f>
        <v>168932.88000000003</v>
      </c>
      <c r="J12" s="73">
        <f ca="1">H12-I12</f>
        <v>6.1199999999953434</v>
      </c>
      <c r="K12" s="74">
        <f ca="1">+J12/H12*100</f>
        <v>3.6226093441984043E-3</v>
      </c>
      <c r="L12" s="75">
        <f ca="1">+I12/H12*100</f>
        <v>99.996377390655795</v>
      </c>
      <c r="M12" s="574" t="s">
        <v>992</v>
      </c>
    </row>
    <row r="13" spans="1:13" ht="45.75" customHeight="1" x14ac:dyDescent="0.25">
      <c r="A13" s="159">
        <v>262430</v>
      </c>
      <c r="B13" s="311">
        <v>200200</v>
      </c>
      <c r="C13" s="268" t="s">
        <v>745</v>
      </c>
      <c r="D13" s="135" t="s">
        <v>746</v>
      </c>
      <c r="E13" s="600" t="s">
        <v>747</v>
      </c>
      <c r="F13" s="603">
        <f>SIN_Calendario!F15</f>
        <v>34800</v>
      </c>
      <c r="G13" s="602"/>
      <c r="H13" s="65">
        <f ca="1">SIN_Calendario!T15</f>
        <v>26100</v>
      </c>
      <c r="I13" s="65">
        <f>SIN_Calendario!T16</f>
        <v>0</v>
      </c>
      <c r="J13" s="73">
        <f t="shared" ref="J13:J26" ca="1" si="0">H13-I13</f>
        <v>26100</v>
      </c>
      <c r="K13" s="74">
        <f ca="1">+J13/H13*100</f>
        <v>100</v>
      </c>
      <c r="L13" s="75">
        <f ca="1">+I13/H13*100</f>
        <v>0</v>
      </c>
      <c r="M13" s="574" t="s">
        <v>968</v>
      </c>
    </row>
    <row r="14" spans="1:13" ht="48" customHeight="1" x14ac:dyDescent="0.25">
      <c r="A14" s="159">
        <v>260202</v>
      </c>
      <c r="B14" s="311">
        <v>200200</v>
      </c>
      <c r="C14" s="268" t="s">
        <v>748</v>
      </c>
      <c r="D14" s="135" t="s">
        <v>749</v>
      </c>
      <c r="E14" s="600" t="s">
        <v>744</v>
      </c>
      <c r="F14" s="603">
        <f>SIN_Calendario!F17</f>
        <v>410640</v>
      </c>
      <c r="G14" s="602">
        <f t="shared" ref="G14:G22" si="1">+F14/12</f>
        <v>34220</v>
      </c>
      <c r="H14" s="65">
        <f ca="1">SIN_Calendario!T17</f>
        <v>307980</v>
      </c>
      <c r="I14" s="129">
        <f>SIN_Calendario!T18</f>
        <v>307980</v>
      </c>
      <c r="J14" s="73">
        <f t="shared" ca="1" si="0"/>
        <v>0</v>
      </c>
      <c r="K14" s="74">
        <f ca="1">+J14/H14*100</f>
        <v>0</v>
      </c>
      <c r="L14" s="75">
        <f ca="1">+I14/H14*100</f>
        <v>100</v>
      </c>
      <c r="M14" s="574" t="s">
        <v>992</v>
      </c>
    </row>
    <row r="15" spans="1:13" ht="57" x14ac:dyDescent="0.25">
      <c r="A15" s="385" t="s">
        <v>750</v>
      </c>
      <c r="B15" s="311" t="s">
        <v>751</v>
      </c>
      <c r="C15" s="268" t="s">
        <v>752</v>
      </c>
      <c r="D15" s="135" t="s">
        <v>753</v>
      </c>
      <c r="E15" s="600" t="s">
        <v>754</v>
      </c>
      <c r="F15" s="603">
        <f>SIN_Calendario!F19</f>
        <v>3758400</v>
      </c>
      <c r="G15" s="602">
        <f>250000*1.16</f>
        <v>290000</v>
      </c>
      <c r="H15" s="65">
        <f ca="1">SIN_Calendario!T19</f>
        <v>3758400</v>
      </c>
      <c r="I15" s="129">
        <f>SIN_Calendario!T20</f>
        <v>2749198.56</v>
      </c>
      <c r="J15" s="73">
        <f t="shared" ca="1" si="0"/>
        <v>1009201.44</v>
      </c>
      <c r="K15" s="74">
        <f t="shared" ref="K15:K25" ca="1" si="2">+J15/H15*100</f>
        <v>26.851890166028099</v>
      </c>
      <c r="L15" s="75">
        <f t="shared" ref="L15:L25" ca="1" si="3">+I15/H15*100</f>
        <v>73.148109833971915</v>
      </c>
      <c r="M15" s="574" t="s">
        <v>992</v>
      </c>
    </row>
    <row r="16" spans="1:13" ht="53.25" customHeight="1" x14ac:dyDescent="0.25">
      <c r="A16" s="592">
        <v>269101</v>
      </c>
      <c r="B16" s="346">
        <v>900110</v>
      </c>
      <c r="C16" s="347" t="s">
        <v>755</v>
      </c>
      <c r="D16" s="135" t="s">
        <v>756</v>
      </c>
      <c r="E16" s="600" t="s">
        <v>190</v>
      </c>
      <c r="F16" s="603">
        <f>SIN_Calendario!F21</f>
        <v>2578752</v>
      </c>
      <c r="G16" s="602">
        <f>185255*1.16</f>
        <v>214895.8</v>
      </c>
      <c r="H16" s="65">
        <f ca="1">SIN_Calendario!T21</f>
        <v>1934063.9999999998</v>
      </c>
      <c r="I16" s="129">
        <f>SIN_Calendario!T22</f>
        <v>1933739.5499999998</v>
      </c>
      <c r="J16" s="73">
        <f t="shared" ca="1" si="0"/>
        <v>324.44999999995343</v>
      </c>
      <c r="K16" s="74">
        <f t="shared" ca="1" si="2"/>
        <v>1.6775556548281414E-2</v>
      </c>
      <c r="L16" s="75">
        <f t="shared" ca="1" si="3"/>
        <v>99.983224443451718</v>
      </c>
      <c r="M16" s="574" t="s">
        <v>778</v>
      </c>
    </row>
    <row r="17" spans="1:13" ht="63.75" customHeight="1" x14ac:dyDescent="0.25">
      <c r="A17" s="159">
        <v>269103</v>
      </c>
      <c r="B17" s="311">
        <v>900110</v>
      </c>
      <c r="C17" s="268" t="s">
        <v>757</v>
      </c>
      <c r="D17" s="240" t="s">
        <v>758</v>
      </c>
      <c r="E17" s="433" t="s">
        <v>759</v>
      </c>
      <c r="F17" s="603">
        <f>SIN_Calendario!F23</f>
        <v>597082.67999999993</v>
      </c>
      <c r="G17" s="604">
        <f>125000*1.16</f>
        <v>145000</v>
      </c>
      <c r="H17" s="65">
        <f ca="1">SIN_Calendario!T23</f>
        <v>447812.00999999995</v>
      </c>
      <c r="I17" s="129">
        <f>SIN_Calendario!T24</f>
        <v>447811.73999999993</v>
      </c>
      <c r="J17" s="73">
        <f t="shared" ca="1" si="0"/>
        <v>0.27000000001862645</v>
      </c>
      <c r="K17" s="74">
        <f t="shared" ca="1" si="2"/>
        <v>6.0293157394020418E-5</v>
      </c>
      <c r="L17" s="75">
        <f t="shared" ca="1" si="3"/>
        <v>99.999939706842611</v>
      </c>
      <c r="M17" s="574" t="s">
        <v>775</v>
      </c>
    </row>
    <row r="18" spans="1:13" ht="50.25" customHeight="1" x14ac:dyDescent="0.25">
      <c r="A18" s="593">
        <v>268102</v>
      </c>
      <c r="B18" s="594">
        <v>150100</v>
      </c>
      <c r="C18" s="422" t="s">
        <v>755</v>
      </c>
      <c r="D18" s="442" t="s">
        <v>760</v>
      </c>
      <c r="E18" s="605" t="s">
        <v>761</v>
      </c>
      <c r="F18" s="603">
        <f>SIN_Calendario!F25</f>
        <v>108396</v>
      </c>
      <c r="G18" s="606">
        <f t="shared" si="1"/>
        <v>9033</v>
      </c>
      <c r="H18" s="127">
        <f ca="1">SIN_Calendario!T25</f>
        <v>81297</v>
      </c>
      <c r="I18" s="124">
        <f>SIN_Calendario!T26</f>
        <v>81296.37</v>
      </c>
      <c r="J18" s="224">
        <f t="shared" ca="1" si="0"/>
        <v>0.63000000000465661</v>
      </c>
      <c r="K18" s="361">
        <f t="shared" ca="1" si="2"/>
        <v>7.7493634452028561E-4</v>
      </c>
      <c r="L18" s="239">
        <f t="shared" ca="1" si="3"/>
        <v>99.999225063655487</v>
      </c>
      <c r="M18" s="574" t="s">
        <v>992</v>
      </c>
    </row>
    <row r="19" spans="1:13" ht="91.5" customHeight="1" x14ac:dyDescent="0.25">
      <c r="A19" s="163">
        <v>268103</v>
      </c>
      <c r="B19" s="594">
        <v>920100</v>
      </c>
      <c r="C19" s="422" t="s">
        <v>752</v>
      </c>
      <c r="D19" s="135" t="s">
        <v>762</v>
      </c>
      <c r="E19" s="607" t="s">
        <v>763</v>
      </c>
      <c r="F19" s="603">
        <f>SIN_Calendario!F27</f>
        <v>361920</v>
      </c>
      <c r="G19" s="602">
        <v>30160</v>
      </c>
      <c r="H19" s="65">
        <f ca="1">SIN_Calendario!T27</f>
        <v>271440</v>
      </c>
      <c r="I19" s="129">
        <f>SIN_Calendario!T28</f>
        <v>271440</v>
      </c>
      <c r="J19" s="73">
        <f t="shared" ca="1" si="0"/>
        <v>0</v>
      </c>
      <c r="K19" s="74">
        <f t="shared" ca="1" si="2"/>
        <v>0</v>
      </c>
      <c r="L19" s="75">
        <f t="shared" ca="1" si="3"/>
        <v>100</v>
      </c>
      <c r="M19" s="574" t="s">
        <v>992</v>
      </c>
    </row>
    <row r="20" spans="1:13" ht="79.5" customHeight="1" x14ac:dyDescent="0.25">
      <c r="A20" s="595">
        <v>268101</v>
      </c>
      <c r="B20" s="311">
        <v>150100</v>
      </c>
      <c r="C20" s="268" t="s">
        <v>755</v>
      </c>
      <c r="D20" s="135" t="s">
        <v>764</v>
      </c>
      <c r="E20" s="600" t="s">
        <v>765</v>
      </c>
      <c r="F20" s="603">
        <f>SIN_Calendario!F29</f>
        <v>93034.66</v>
      </c>
      <c r="G20" s="602">
        <f t="shared" si="1"/>
        <v>7752.8883333333333</v>
      </c>
      <c r="H20" s="65">
        <f ca="1">SIN_Calendario!T29</f>
        <v>69777</v>
      </c>
      <c r="I20" s="129">
        <f>SIN_Calendario!T30</f>
        <v>69770.97</v>
      </c>
      <c r="J20" s="73">
        <f t="shared" ca="1" si="0"/>
        <v>6.0299999999988358</v>
      </c>
      <c r="K20" s="74">
        <f t="shared" ca="1" si="2"/>
        <v>8.6418160711965782E-3</v>
      </c>
      <c r="L20" s="75">
        <f t="shared" ca="1" si="3"/>
        <v>99.991358183928796</v>
      </c>
      <c r="M20" s="574" t="s">
        <v>992</v>
      </c>
    </row>
    <row r="21" spans="1:13" ht="50.25" customHeight="1" x14ac:dyDescent="0.25">
      <c r="A21" s="595">
        <v>269001</v>
      </c>
      <c r="B21" s="311">
        <v>140100</v>
      </c>
      <c r="C21" s="268" t="s">
        <v>755</v>
      </c>
      <c r="D21" s="135" t="s">
        <v>766</v>
      </c>
      <c r="E21" s="600" t="s">
        <v>767</v>
      </c>
      <c r="F21" s="603">
        <f>SIN_Calendario!F31</f>
        <v>556800</v>
      </c>
      <c r="G21" s="602">
        <f t="shared" si="1"/>
        <v>46400</v>
      </c>
      <c r="H21" s="65">
        <f ca="1">SIN_Calendario!T31</f>
        <v>417600.00000000006</v>
      </c>
      <c r="I21" s="129">
        <f>SIN_Calendario!T32</f>
        <v>417598.47000000009</v>
      </c>
      <c r="J21" s="73">
        <f t="shared" ca="1" si="0"/>
        <v>1.529999999969732</v>
      </c>
      <c r="K21" s="74">
        <f t="shared" ca="1" si="2"/>
        <v>3.6637931033757948E-4</v>
      </c>
      <c r="L21" s="75">
        <f t="shared" ca="1" si="3"/>
        <v>99.999633620689664</v>
      </c>
      <c r="M21" s="574" t="s">
        <v>992</v>
      </c>
    </row>
    <row r="22" spans="1:13" ht="57" x14ac:dyDescent="0.25">
      <c r="A22" s="596">
        <v>265904</v>
      </c>
      <c r="B22" s="597">
        <v>380200</v>
      </c>
      <c r="C22" s="8"/>
      <c r="D22" s="608" t="s">
        <v>768</v>
      </c>
      <c r="E22" s="609" t="s">
        <v>721</v>
      </c>
      <c r="F22" s="603">
        <f>SIN_Calendario!F33</f>
        <v>876084</v>
      </c>
      <c r="G22" s="602">
        <f t="shared" si="1"/>
        <v>73007</v>
      </c>
      <c r="H22" s="65">
        <f ca="1">SIN_Calendario!T33</f>
        <v>657063</v>
      </c>
      <c r="I22" s="129">
        <f>SIN_Calendario!T34</f>
        <v>657061.35999999987</v>
      </c>
      <c r="J22" s="73">
        <f t="shared" ca="1" si="0"/>
        <v>1.6400000001303852</v>
      </c>
      <c r="K22" s="74">
        <f t="shared" ca="1" si="2"/>
        <v>2.4959554869630234E-4</v>
      </c>
      <c r="L22" s="75">
        <f t="shared" ca="1" si="3"/>
        <v>99.999750404451305</v>
      </c>
      <c r="M22" s="574" t="s">
        <v>778</v>
      </c>
    </row>
    <row r="23" spans="1:13" ht="78" customHeight="1" x14ac:dyDescent="0.25">
      <c r="A23" s="596">
        <v>268004</v>
      </c>
      <c r="B23" s="597">
        <v>150900</v>
      </c>
      <c r="C23" s="8"/>
      <c r="D23" s="608" t="s">
        <v>776</v>
      </c>
      <c r="E23" s="609" t="s">
        <v>777</v>
      </c>
      <c r="F23" s="603">
        <f>SIN_Calendario!F35</f>
        <v>1978487.9999999998</v>
      </c>
      <c r="G23" s="602">
        <f>+F23/12</f>
        <v>164873.99999999997</v>
      </c>
      <c r="H23" s="65">
        <f ca="1">SIN_Calendario!T35</f>
        <v>1483865.9999999998</v>
      </c>
      <c r="I23" s="123">
        <f>SIN_Calendario!T36</f>
        <v>1483860.5099999998</v>
      </c>
      <c r="J23" s="73">
        <f t="shared" ca="1" si="0"/>
        <v>5.4899999999906868</v>
      </c>
      <c r="K23" s="74">
        <f t="shared" ca="1" si="2"/>
        <v>3.6997949949595771E-4</v>
      </c>
      <c r="L23" s="75">
        <f t="shared" ca="1" si="3"/>
        <v>99.999630020500504</v>
      </c>
      <c r="M23" s="574" t="s">
        <v>992</v>
      </c>
    </row>
    <row r="24" spans="1:13" ht="78" customHeight="1" x14ac:dyDescent="0.25">
      <c r="A24" s="610">
        <v>266301</v>
      </c>
      <c r="B24" s="611" t="s">
        <v>771</v>
      </c>
      <c r="C24" s="268" t="s">
        <v>755</v>
      </c>
      <c r="D24" s="240" t="s">
        <v>772</v>
      </c>
      <c r="E24" s="433" t="s">
        <v>773</v>
      </c>
      <c r="F24" s="603">
        <f>SIN_Calendario!F37</f>
        <v>27766.5</v>
      </c>
      <c r="G24" s="602">
        <f>+F24/12</f>
        <v>2313.875</v>
      </c>
      <c r="H24" s="65">
        <f ca="1">SIN_Calendario!T37</f>
        <v>20826</v>
      </c>
      <c r="I24" s="123">
        <f>SIN_Calendario!T38</f>
        <v>18506</v>
      </c>
      <c r="J24" s="107">
        <f t="shared" ca="1" si="0"/>
        <v>2320</v>
      </c>
      <c r="K24" s="108">
        <f t="shared" ca="1" si="2"/>
        <v>11.139921252280804</v>
      </c>
      <c r="L24" s="109">
        <f t="shared" ca="1" si="3"/>
        <v>88.8600787477192</v>
      </c>
      <c r="M24" s="574" t="s">
        <v>778</v>
      </c>
    </row>
    <row r="25" spans="1:13" ht="47.25" customHeight="1" thickBot="1" x14ac:dyDescent="0.3">
      <c r="A25" s="610" t="s">
        <v>86</v>
      </c>
      <c r="B25" s="612" t="s">
        <v>779</v>
      </c>
      <c r="C25" s="613"/>
      <c r="D25" s="442" t="s">
        <v>774</v>
      </c>
      <c r="E25" s="614" t="s">
        <v>255</v>
      </c>
      <c r="F25" s="603">
        <f>SIN_Calendario!F39</f>
        <v>189378</v>
      </c>
      <c r="G25" s="602">
        <f>+F25/6</f>
        <v>31563</v>
      </c>
      <c r="H25" s="65">
        <f ca="1">SIN_Calendario!T39</f>
        <v>142038</v>
      </c>
      <c r="I25" s="123">
        <f>SIN_Calendario!T40</f>
        <v>142033.13999999998</v>
      </c>
      <c r="J25" s="107">
        <f t="shared" ca="1" si="0"/>
        <v>4.860000000015134</v>
      </c>
      <c r="K25" s="108">
        <f t="shared" ca="1" si="2"/>
        <v>3.4216195666055102E-3</v>
      </c>
      <c r="L25" s="109">
        <f t="shared" ca="1" si="3"/>
        <v>99.996578380433405</v>
      </c>
      <c r="M25" s="574" t="s">
        <v>318</v>
      </c>
    </row>
    <row r="26" spans="1:13" ht="15.75" thickBot="1" x14ac:dyDescent="0.3">
      <c r="A26" s="4"/>
      <c r="B26" s="40">
        <v>14</v>
      </c>
      <c r="C26" s="24">
        <f>COUNT(#REF!)</f>
        <v>0</v>
      </c>
      <c r="D26" s="615"/>
      <c r="E26" s="616"/>
      <c r="F26" s="84">
        <f>SUM(F12:F25)</f>
        <v>11796792.48</v>
      </c>
      <c r="G26" s="85">
        <f>SUM(G12:G25)</f>
        <v>1067989.8829333333</v>
      </c>
      <c r="H26" s="84">
        <f ca="1">SUM(H12:H25)</f>
        <v>9787202.0099999998</v>
      </c>
      <c r="I26" s="84">
        <f>SUM(I12:I25)</f>
        <v>8749229.5500000007</v>
      </c>
      <c r="J26" s="84">
        <f t="shared" ca="1" si="0"/>
        <v>1037972.459999999</v>
      </c>
      <c r="K26" s="390">
        <f ca="1">+J26/H26*100</f>
        <v>10.605405497295942</v>
      </c>
      <c r="L26" s="88">
        <f ca="1">+I26/H26*100</f>
        <v>89.394594502704066</v>
      </c>
      <c r="M26" s="599"/>
    </row>
    <row r="27" spans="1:13" ht="8.25" customHeight="1" x14ac:dyDescent="0.25">
      <c r="F27" s="3"/>
      <c r="G27" s="3"/>
      <c r="H27" s="2"/>
      <c r="I27" s="2"/>
      <c r="J27" s="2"/>
      <c r="K27" s="2"/>
      <c r="L27" s="2"/>
      <c r="M27" s="70"/>
    </row>
    <row r="28" spans="1:13" x14ac:dyDescent="0.25">
      <c r="F28" s="9"/>
      <c r="I28" s="2"/>
      <c r="J28" s="9"/>
    </row>
    <row r="29" spans="1:13" x14ac:dyDescent="0.25">
      <c r="I29" s="2"/>
    </row>
    <row r="30" spans="1:13" x14ac:dyDescent="0.25">
      <c r="I30" s="2"/>
    </row>
    <row r="31" spans="1:13" x14ac:dyDescent="0.25">
      <c r="I31" s="2"/>
    </row>
    <row r="32" spans="1:13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  <row r="36" spans="9:9" x14ac:dyDescent="0.25">
      <c r="I36" s="2"/>
    </row>
    <row r="37" spans="9:9" x14ac:dyDescent="0.25">
      <c r="I37" s="2"/>
    </row>
    <row r="38" spans="9:9" x14ac:dyDescent="0.25">
      <c r="I38" s="2"/>
    </row>
    <row r="39" spans="9:9" x14ac:dyDescent="0.25">
      <c r="I39" s="2"/>
    </row>
    <row r="40" spans="9:9" x14ac:dyDescent="0.25">
      <c r="I40" s="2"/>
    </row>
    <row r="41" spans="9:9" x14ac:dyDescent="0.25">
      <c r="I41" s="2"/>
    </row>
    <row r="42" spans="9:9" x14ac:dyDescent="0.25">
      <c r="I42" s="2"/>
    </row>
    <row r="43" spans="9:9" x14ac:dyDescent="0.25">
      <c r="I43" s="2"/>
    </row>
    <row r="44" spans="9:9" x14ac:dyDescent="0.25">
      <c r="I44" s="2"/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8" fitToHeight="21" orientation="landscape" r:id="rId1"/>
  <rowBreaks count="1" manualBreakCount="1">
    <brk id="36" min="3" max="11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44"/>
  <sheetViews>
    <sheetView zoomScale="70" zoomScaleNormal="70" zoomScaleSheetLayoutView="80" zoomScalePageLayoutView="80" workbookViewId="0">
      <pane xSplit="4" ySplit="12" topLeftCell="N13" activePane="bottomRight" state="frozen"/>
      <selection pane="topRight" activeCell="E1" sqref="E1"/>
      <selection pane="bottomLeft" activeCell="A12" sqref="A12"/>
      <selection pane="bottomRight" activeCell="Q21" sqref="Q21"/>
    </sheetView>
  </sheetViews>
  <sheetFormatPr baseColWidth="10" defaultRowHeight="15" x14ac:dyDescent="0.25"/>
  <cols>
    <col min="1" max="1" width="9.42578125" style="795" customWidth="1"/>
    <col min="2" max="2" width="10.42578125" style="795" customWidth="1"/>
    <col min="3" max="3" width="0.28515625" style="306" customWidth="1"/>
    <col min="4" max="4" width="25.5703125" style="306" customWidth="1"/>
    <col min="5" max="5" width="26.7109375" style="586" customWidth="1"/>
    <col min="6" max="11" width="20.85546875" customWidth="1"/>
    <col min="12" max="12" width="21.28515625" customWidth="1"/>
    <col min="13" max="13" width="20.28515625" customWidth="1"/>
    <col min="14" max="19" width="20.85546875" customWidth="1"/>
    <col min="20" max="20" width="19.140625" customWidth="1"/>
    <col min="21" max="21" width="39.42578125" customWidth="1"/>
    <col min="22" max="22" width="5" customWidth="1"/>
    <col min="23" max="23" width="28" customWidth="1"/>
    <col min="24" max="16373" width="11.42578125" customWidth="1"/>
  </cols>
  <sheetData>
    <row r="1" spans="1:21" x14ac:dyDescent="0.25">
      <c r="F1" s="587" t="s">
        <v>25</v>
      </c>
      <c r="U1" s="11"/>
    </row>
    <row r="2" spans="1:21" x14ac:dyDescent="0.25">
      <c r="F2" s="587" t="s">
        <v>24</v>
      </c>
    </row>
    <row r="3" spans="1:21" x14ac:dyDescent="0.25">
      <c r="F3" s="587" t="s">
        <v>23</v>
      </c>
    </row>
    <row r="4" spans="1:21" x14ac:dyDescent="0.25">
      <c r="F4" s="587" t="s">
        <v>22</v>
      </c>
    </row>
    <row r="5" spans="1:21" x14ac:dyDescent="0.25">
      <c r="F5" s="587" t="s">
        <v>21</v>
      </c>
    </row>
    <row r="6" spans="1:21" ht="20.25" x14ac:dyDescent="0.3">
      <c r="E6" s="588"/>
      <c r="F6" s="589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x14ac:dyDescent="0.25">
      <c r="D8" s="590" t="s">
        <v>31</v>
      </c>
      <c r="E8" s="587" t="s">
        <v>145</v>
      </c>
      <c r="T8" s="9"/>
    </row>
    <row r="9" spans="1:21" ht="15.75" thickBot="1" x14ac:dyDescent="0.3">
      <c r="D9" s="590"/>
      <c r="E9" s="587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 s="9"/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1004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77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1004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77"/>
      <c r="U12" s="877"/>
    </row>
    <row r="13" spans="1:21" ht="39.75" customHeight="1" thickTop="1" thickBot="1" x14ac:dyDescent="0.3">
      <c r="A13" s="796">
        <v>200200</v>
      </c>
      <c r="B13" s="801">
        <v>260201</v>
      </c>
      <c r="C13" s="344" t="s">
        <v>742</v>
      </c>
      <c r="D13" s="889" t="s">
        <v>743</v>
      </c>
      <c r="E13" s="978" t="s">
        <v>744</v>
      </c>
      <c r="F13" s="1005">
        <f>SUM(I13:S13)</f>
        <v>225250.64</v>
      </c>
      <c r="G13" s="591" t="s">
        <v>52</v>
      </c>
      <c r="H13" s="591"/>
      <c r="I13" s="591">
        <f t="shared" ref="I13:S13" si="0">VLOOKUP($A13&amp;$B13&amp;I$10,Base,8,FALSE)</f>
        <v>0</v>
      </c>
      <c r="J13" s="591">
        <f t="shared" si="0"/>
        <v>0</v>
      </c>
      <c r="K13" s="591">
        <f t="shared" si="0"/>
        <v>56310.96</v>
      </c>
      <c r="L13" s="591">
        <f t="shared" si="0"/>
        <v>18770.32</v>
      </c>
      <c r="M13" s="591">
        <f t="shared" si="0"/>
        <v>18770.32</v>
      </c>
      <c r="N13" s="591">
        <f t="shared" si="0"/>
        <v>18770.32</v>
      </c>
      <c r="O13" s="591">
        <f t="shared" si="0"/>
        <v>18770.32</v>
      </c>
      <c r="P13" s="591">
        <f t="shared" si="0"/>
        <v>18770.32</v>
      </c>
      <c r="Q13" s="591">
        <f t="shared" si="0"/>
        <v>18776.439999999999</v>
      </c>
      <c r="R13" s="591">
        <f t="shared" si="0"/>
        <v>18771</v>
      </c>
      <c r="S13" s="591">
        <f t="shared" si="0"/>
        <v>37540.639999999999</v>
      </c>
      <c r="T13" s="185">
        <f ca="1">SUM($H13:(OFFSET($H13,0,AVANCE060826!$T$2)))</f>
        <v>168939.00000000003</v>
      </c>
      <c r="U13" s="903"/>
    </row>
    <row r="14" spans="1:21" ht="39.75" customHeight="1" thickTop="1" x14ac:dyDescent="0.25">
      <c r="A14" s="796">
        <v>200200</v>
      </c>
      <c r="B14" s="801">
        <v>260201</v>
      </c>
      <c r="C14" s="344"/>
      <c r="D14" s="889"/>
      <c r="E14" s="978"/>
      <c r="F14" s="1006"/>
      <c r="G14" s="591" t="s">
        <v>53</v>
      </c>
      <c r="H14" s="591"/>
      <c r="I14" s="166">
        <f t="shared" ref="I14:S14" si="1">VLOOKUP($A14&amp;$B14&amp;I$10,Base,9,FALSE)</f>
        <v>0</v>
      </c>
      <c r="J14" s="591">
        <f t="shared" si="1"/>
        <v>0</v>
      </c>
      <c r="K14" s="591">
        <f t="shared" si="1"/>
        <v>56310.96</v>
      </c>
      <c r="L14" s="591">
        <f t="shared" si="1"/>
        <v>18770.32</v>
      </c>
      <c r="M14" s="591">
        <f t="shared" si="1"/>
        <v>18770.32</v>
      </c>
      <c r="N14" s="591">
        <f t="shared" si="1"/>
        <v>18770.32</v>
      </c>
      <c r="O14" s="591">
        <f t="shared" si="1"/>
        <v>18770.32</v>
      </c>
      <c r="P14" s="591">
        <f t="shared" si="1"/>
        <v>18770.32</v>
      </c>
      <c r="Q14" s="591">
        <f t="shared" si="1"/>
        <v>18770.32</v>
      </c>
      <c r="R14" s="591">
        <f t="shared" si="1"/>
        <v>0</v>
      </c>
      <c r="S14" s="591">
        <f t="shared" si="1"/>
        <v>0</v>
      </c>
      <c r="T14" s="185">
        <f t="shared" ref="T14:T40" si="2">SUM(H14:S14)</f>
        <v>168932.88000000003</v>
      </c>
      <c r="U14" s="903"/>
    </row>
    <row r="15" spans="1:21" ht="39.75" customHeight="1" x14ac:dyDescent="0.25">
      <c r="A15" s="778">
        <v>200200</v>
      </c>
      <c r="B15" s="802">
        <v>262430</v>
      </c>
      <c r="C15" s="268" t="s">
        <v>745</v>
      </c>
      <c r="D15" s="889" t="s">
        <v>746</v>
      </c>
      <c r="E15" s="978" t="s">
        <v>747</v>
      </c>
      <c r="F15" s="1005">
        <f>SUM(I15:S15)</f>
        <v>34800</v>
      </c>
      <c r="G15" s="591" t="s">
        <v>52</v>
      </c>
      <c r="H15" s="591"/>
      <c r="I15" s="591">
        <f t="shared" ref="I15:S15" si="3">VLOOKUP($A15&amp;$B15&amp;I$10,Base,8,FALSE)</f>
        <v>0</v>
      </c>
      <c r="J15" s="591">
        <f t="shared" si="3"/>
        <v>0</v>
      </c>
      <c r="K15" s="591">
        <f t="shared" si="3"/>
        <v>0</v>
      </c>
      <c r="L15" s="591">
        <f t="shared" si="3"/>
        <v>0</v>
      </c>
      <c r="M15" s="591">
        <f t="shared" si="3"/>
        <v>0</v>
      </c>
      <c r="N15" s="591">
        <f t="shared" si="3"/>
        <v>0</v>
      </c>
      <c r="O15" s="591">
        <f t="shared" si="3"/>
        <v>0</v>
      </c>
      <c r="P15" s="591">
        <f t="shared" si="3"/>
        <v>0</v>
      </c>
      <c r="Q15" s="591">
        <f t="shared" si="3"/>
        <v>26100</v>
      </c>
      <c r="R15" s="591">
        <f t="shared" si="3"/>
        <v>2900</v>
      </c>
      <c r="S15" s="591">
        <f t="shared" si="3"/>
        <v>5800</v>
      </c>
      <c r="T15" s="185">
        <f ca="1">SUM($H15:(OFFSET($H15,0,AVANCE060826!$T$2)))</f>
        <v>26100</v>
      </c>
      <c r="U15" s="903"/>
    </row>
    <row r="16" spans="1:21" ht="39.75" customHeight="1" x14ac:dyDescent="0.25">
      <c r="A16" s="778">
        <v>200200</v>
      </c>
      <c r="B16" s="802">
        <v>262430</v>
      </c>
      <c r="C16" s="268"/>
      <c r="D16" s="889"/>
      <c r="E16" s="978"/>
      <c r="F16" s="1006"/>
      <c r="G16" s="591" t="s">
        <v>53</v>
      </c>
      <c r="H16" s="591"/>
      <c r="I16" s="591">
        <f t="shared" ref="I16:S16" si="4">VLOOKUP($A16&amp;$B16&amp;I$10,Base,9,FALSE)</f>
        <v>0</v>
      </c>
      <c r="J16" s="591">
        <f t="shared" si="4"/>
        <v>0</v>
      </c>
      <c r="K16" s="591">
        <f t="shared" si="4"/>
        <v>0</v>
      </c>
      <c r="L16" s="591">
        <f t="shared" si="4"/>
        <v>0</v>
      </c>
      <c r="M16" s="591">
        <f t="shared" si="4"/>
        <v>0</v>
      </c>
      <c r="N16" s="591">
        <f t="shared" si="4"/>
        <v>0</v>
      </c>
      <c r="O16" s="591">
        <f t="shared" si="4"/>
        <v>0</v>
      </c>
      <c r="P16" s="591">
        <f t="shared" si="4"/>
        <v>0</v>
      </c>
      <c r="Q16" s="591">
        <f t="shared" si="4"/>
        <v>0</v>
      </c>
      <c r="R16" s="591">
        <f t="shared" si="4"/>
        <v>0</v>
      </c>
      <c r="S16" s="591">
        <f t="shared" si="4"/>
        <v>0</v>
      </c>
      <c r="T16" s="185">
        <f t="shared" si="2"/>
        <v>0</v>
      </c>
      <c r="U16" s="903"/>
    </row>
    <row r="17" spans="1:21" ht="39.75" customHeight="1" x14ac:dyDescent="0.25">
      <c r="A17" s="778">
        <v>200200</v>
      </c>
      <c r="B17" s="802">
        <v>260202</v>
      </c>
      <c r="C17" s="268" t="s">
        <v>748</v>
      </c>
      <c r="D17" s="889" t="s">
        <v>749</v>
      </c>
      <c r="E17" s="978" t="s">
        <v>744</v>
      </c>
      <c r="F17" s="1005">
        <f>SUM(I17:S17)</f>
        <v>410640</v>
      </c>
      <c r="G17" s="591" t="s">
        <v>52</v>
      </c>
      <c r="H17" s="591"/>
      <c r="I17" s="591">
        <f t="shared" ref="I17:S17" si="5">VLOOKUP($A17&amp;$B17&amp;I$10,Base,8,FALSE)</f>
        <v>0</v>
      </c>
      <c r="J17" s="591">
        <f t="shared" si="5"/>
        <v>68440</v>
      </c>
      <c r="K17" s="591">
        <f t="shared" si="5"/>
        <v>34220</v>
      </c>
      <c r="L17" s="591">
        <f t="shared" si="5"/>
        <v>34220</v>
      </c>
      <c r="M17" s="591">
        <f t="shared" si="5"/>
        <v>34220</v>
      </c>
      <c r="N17" s="591">
        <f t="shared" si="5"/>
        <v>34220</v>
      </c>
      <c r="O17" s="591">
        <f t="shared" si="5"/>
        <v>34220</v>
      </c>
      <c r="P17" s="591">
        <f t="shared" si="5"/>
        <v>34220</v>
      </c>
      <c r="Q17" s="591">
        <f t="shared" si="5"/>
        <v>34220</v>
      </c>
      <c r="R17" s="591">
        <f t="shared" si="5"/>
        <v>34220</v>
      </c>
      <c r="S17" s="591">
        <f t="shared" si="5"/>
        <v>68440</v>
      </c>
      <c r="T17" s="185">
        <f ca="1">SUM($H17:(OFFSET($H17,0,AVANCE060826!$T$2)))</f>
        <v>307980</v>
      </c>
      <c r="U17" s="903"/>
    </row>
    <row r="18" spans="1:21" ht="39.75" customHeight="1" x14ac:dyDescent="0.25">
      <c r="A18" s="778">
        <v>200200</v>
      </c>
      <c r="B18" s="802">
        <v>260202</v>
      </c>
      <c r="C18" s="268"/>
      <c r="D18" s="889"/>
      <c r="E18" s="978"/>
      <c r="F18" s="1006"/>
      <c r="G18" s="591" t="s">
        <v>53</v>
      </c>
      <c r="H18" s="591"/>
      <c r="I18" s="591">
        <f t="shared" ref="I18:S18" si="6">VLOOKUP($A18&amp;$B18&amp;I$10,Base,9,FALSE)</f>
        <v>0</v>
      </c>
      <c r="J18" s="591">
        <f t="shared" si="6"/>
        <v>68440</v>
      </c>
      <c r="K18" s="591">
        <f t="shared" si="6"/>
        <v>34220</v>
      </c>
      <c r="L18" s="591">
        <f t="shared" si="6"/>
        <v>34220</v>
      </c>
      <c r="M18" s="591">
        <f t="shared" si="6"/>
        <v>34220</v>
      </c>
      <c r="N18" s="591">
        <f t="shared" si="6"/>
        <v>34220</v>
      </c>
      <c r="O18" s="591">
        <f t="shared" si="6"/>
        <v>34220</v>
      </c>
      <c r="P18" s="591">
        <f t="shared" si="6"/>
        <v>34220</v>
      </c>
      <c r="Q18" s="591">
        <f t="shared" si="6"/>
        <v>34220</v>
      </c>
      <c r="R18" s="591">
        <f t="shared" si="6"/>
        <v>0</v>
      </c>
      <c r="S18" s="591">
        <f t="shared" si="6"/>
        <v>0</v>
      </c>
      <c r="T18" s="185">
        <f t="shared" si="2"/>
        <v>307980</v>
      </c>
      <c r="U18" s="903"/>
    </row>
    <row r="19" spans="1:21" ht="72" customHeight="1" x14ac:dyDescent="0.25">
      <c r="A19" s="778" t="s">
        <v>951</v>
      </c>
      <c r="B19" s="777" t="s">
        <v>952</v>
      </c>
      <c r="C19" s="268" t="s">
        <v>752</v>
      </c>
      <c r="D19" s="889" t="s">
        <v>753</v>
      </c>
      <c r="E19" s="978" t="s">
        <v>754</v>
      </c>
      <c r="F19" s="1005">
        <f>SUM(J19:S19)</f>
        <v>3758400</v>
      </c>
      <c r="G19" s="591" t="s">
        <v>52</v>
      </c>
      <c r="H19" s="178"/>
      <c r="I19" s="178"/>
      <c r="J19" s="178">
        <v>579999.69999999995</v>
      </c>
      <c r="K19" s="178">
        <v>289999.84999999998</v>
      </c>
      <c r="L19" s="178">
        <v>289999.84999999998</v>
      </c>
      <c r="M19" s="178">
        <v>289999.84999999998</v>
      </c>
      <c r="N19" s="178">
        <v>289999.84999999998</v>
      </c>
      <c r="O19" s="178">
        <v>336400.9</v>
      </c>
      <c r="P19" s="178">
        <v>336400</v>
      </c>
      <c r="Q19" s="178">
        <v>336400</v>
      </c>
      <c r="R19" s="178">
        <v>336400</v>
      </c>
      <c r="S19" s="178">
        <v>672800</v>
      </c>
      <c r="T19" s="185">
        <f ca="1">SUM($J19:(OFFSET($J19,0,AVANCE060826!$T$2)))</f>
        <v>3758400</v>
      </c>
      <c r="U19" s="903"/>
    </row>
    <row r="20" spans="1:21" ht="72" customHeight="1" x14ac:dyDescent="0.25">
      <c r="A20" s="778" t="s">
        <v>751</v>
      </c>
      <c r="B20" s="777" t="s">
        <v>750</v>
      </c>
      <c r="C20" s="268"/>
      <c r="D20" s="889"/>
      <c r="E20" s="978"/>
      <c r="F20" s="1006"/>
      <c r="G20" s="591" t="s">
        <v>53</v>
      </c>
      <c r="H20" s="772"/>
      <c r="I20" s="772"/>
      <c r="J20" s="772">
        <v>579999.69999999995</v>
      </c>
      <c r="K20" s="772">
        <v>289999.84999999998</v>
      </c>
      <c r="L20" s="772">
        <v>289999.84999999998</v>
      </c>
      <c r="M20" s="772">
        <v>289999.84999999998</v>
      </c>
      <c r="N20" s="772">
        <v>289999.84999999998</v>
      </c>
      <c r="O20" s="772"/>
      <c r="P20" s="9">
        <v>672799.64</v>
      </c>
      <c r="Q20" s="772">
        <v>336399.82</v>
      </c>
      <c r="R20" s="772"/>
      <c r="S20" s="772"/>
      <c r="T20" s="185">
        <f t="shared" si="2"/>
        <v>2749198.56</v>
      </c>
      <c r="U20" s="903"/>
    </row>
    <row r="21" spans="1:21" ht="39.75" customHeight="1" x14ac:dyDescent="0.25">
      <c r="A21" s="797">
        <v>900110</v>
      </c>
      <c r="B21" s="803">
        <v>269101</v>
      </c>
      <c r="C21" s="347" t="s">
        <v>755</v>
      </c>
      <c r="D21" s="889" t="s">
        <v>756</v>
      </c>
      <c r="E21" s="978" t="s">
        <v>190</v>
      </c>
      <c r="F21" s="1005">
        <f>SUM(I21:S21)</f>
        <v>2578752</v>
      </c>
      <c r="G21" s="591" t="s">
        <v>52</v>
      </c>
      <c r="H21" s="591"/>
      <c r="I21" s="591">
        <f t="shared" ref="I21:S21" si="7">VLOOKUP($A21&amp;$B21&amp;I$10,Base,8,FALSE)</f>
        <v>0</v>
      </c>
      <c r="J21" s="591">
        <f t="shared" si="7"/>
        <v>429719.9</v>
      </c>
      <c r="K21" s="591">
        <f t="shared" si="7"/>
        <v>214859.95</v>
      </c>
      <c r="L21" s="591">
        <f t="shared" si="7"/>
        <v>214859.95</v>
      </c>
      <c r="M21" s="591">
        <f t="shared" si="7"/>
        <v>214859.95</v>
      </c>
      <c r="N21" s="591">
        <f t="shared" si="7"/>
        <v>214859.95</v>
      </c>
      <c r="O21" s="591">
        <f t="shared" si="7"/>
        <v>214859.95</v>
      </c>
      <c r="P21" s="591">
        <f t="shared" si="7"/>
        <v>214859.95</v>
      </c>
      <c r="Q21" s="591">
        <f t="shared" si="7"/>
        <v>215184.4</v>
      </c>
      <c r="R21" s="591">
        <f t="shared" si="7"/>
        <v>214896</v>
      </c>
      <c r="S21" s="591">
        <f t="shared" si="7"/>
        <v>429792</v>
      </c>
      <c r="T21" s="185">
        <f ca="1">SUM($H21:(OFFSET($H21,0,AVANCE060826!$T$2)))</f>
        <v>1934063.9999999998</v>
      </c>
      <c r="U21" s="903"/>
    </row>
    <row r="22" spans="1:21" ht="39.75" customHeight="1" x14ac:dyDescent="0.25">
      <c r="A22" s="797">
        <v>900110</v>
      </c>
      <c r="B22" s="803">
        <v>269101</v>
      </c>
      <c r="C22" s="347"/>
      <c r="D22" s="889"/>
      <c r="E22" s="978"/>
      <c r="F22" s="1006"/>
      <c r="G22" s="591" t="s">
        <v>53</v>
      </c>
      <c r="H22" s="591"/>
      <c r="I22" s="591">
        <f t="shared" ref="I22:S22" si="8">VLOOKUP($A22&amp;$B22&amp;I$10,Base,9,FALSE)</f>
        <v>0</v>
      </c>
      <c r="J22" s="591">
        <f t="shared" si="8"/>
        <v>429719.9</v>
      </c>
      <c r="K22" s="591">
        <f t="shared" si="8"/>
        <v>214859.95</v>
      </c>
      <c r="L22" s="591">
        <f t="shared" si="8"/>
        <v>214859.95</v>
      </c>
      <c r="M22" s="591">
        <f t="shared" si="8"/>
        <v>214859.95</v>
      </c>
      <c r="N22" s="591">
        <f t="shared" si="8"/>
        <v>214859.95</v>
      </c>
      <c r="O22" s="591">
        <f t="shared" si="8"/>
        <v>214859.95</v>
      </c>
      <c r="P22" s="591">
        <f t="shared" si="8"/>
        <v>214859.95</v>
      </c>
      <c r="Q22" s="591">
        <f t="shared" si="8"/>
        <v>214859.95</v>
      </c>
      <c r="R22" s="591">
        <f t="shared" si="8"/>
        <v>0</v>
      </c>
      <c r="S22" s="591">
        <f t="shared" si="8"/>
        <v>0</v>
      </c>
      <c r="T22" s="185">
        <f t="shared" si="2"/>
        <v>1933739.5499999998</v>
      </c>
      <c r="U22" s="903"/>
    </row>
    <row r="23" spans="1:21" ht="39.75" customHeight="1" x14ac:dyDescent="0.25">
      <c r="A23" s="778">
        <v>900110</v>
      </c>
      <c r="B23" s="802">
        <v>269103</v>
      </c>
      <c r="C23" s="268" t="s">
        <v>757</v>
      </c>
      <c r="D23" s="889" t="s">
        <v>758</v>
      </c>
      <c r="E23" s="978" t="s">
        <v>759</v>
      </c>
      <c r="F23" s="1005">
        <f>SUM(I23:S23)</f>
        <v>597082.67999999993</v>
      </c>
      <c r="G23" s="591" t="s">
        <v>52</v>
      </c>
      <c r="H23" s="591"/>
      <c r="I23" s="591">
        <f t="shared" ref="I23:S23" si="9">VLOOKUP($A23&amp;$B23&amp;I$10,Base,8,FALSE)</f>
        <v>0</v>
      </c>
      <c r="J23" s="591">
        <f t="shared" si="9"/>
        <v>99513.72</v>
      </c>
      <c r="K23" s="591">
        <f t="shared" si="9"/>
        <v>49756.86</v>
      </c>
      <c r="L23" s="591">
        <f t="shared" si="9"/>
        <v>49756.86</v>
      </c>
      <c r="M23" s="591">
        <f t="shared" si="9"/>
        <v>49756.86</v>
      </c>
      <c r="N23" s="591">
        <f t="shared" si="9"/>
        <v>49756.86</v>
      </c>
      <c r="O23" s="591">
        <f t="shared" si="9"/>
        <v>49756.86</v>
      </c>
      <c r="P23" s="591">
        <f t="shared" si="9"/>
        <v>49756.86</v>
      </c>
      <c r="Q23" s="591">
        <f t="shared" si="9"/>
        <v>49757.13</v>
      </c>
      <c r="R23" s="591">
        <f t="shared" si="9"/>
        <v>49756.89</v>
      </c>
      <c r="S23" s="591">
        <f t="shared" si="9"/>
        <v>99513.78</v>
      </c>
      <c r="T23" s="185">
        <f ca="1">SUM($H23:(OFFSET($H23,0,AVANCE060826!$T$2)))</f>
        <v>447812.00999999995</v>
      </c>
      <c r="U23" s="903"/>
    </row>
    <row r="24" spans="1:21" ht="39.75" customHeight="1" x14ac:dyDescent="0.25">
      <c r="A24" s="778">
        <v>900110</v>
      </c>
      <c r="B24" s="802">
        <v>269103</v>
      </c>
      <c r="C24" s="268"/>
      <c r="D24" s="889"/>
      <c r="E24" s="978"/>
      <c r="F24" s="1006"/>
      <c r="G24" s="591" t="s">
        <v>53</v>
      </c>
      <c r="H24" s="591"/>
      <c r="I24" s="591">
        <f t="shared" ref="I24:S24" si="10">VLOOKUP($A24&amp;$B24&amp;I$10,Base,9,FALSE)</f>
        <v>0</v>
      </c>
      <c r="J24" s="591">
        <f t="shared" si="10"/>
        <v>99513.72</v>
      </c>
      <c r="K24" s="591">
        <f t="shared" si="10"/>
        <v>49756.86</v>
      </c>
      <c r="L24" s="591">
        <f t="shared" si="10"/>
        <v>49756.86</v>
      </c>
      <c r="M24" s="591">
        <f t="shared" si="10"/>
        <v>49756.86</v>
      </c>
      <c r="N24" s="591">
        <f t="shared" si="10"/>
        <v>49756.86</v>
      </c>
      <c r="O24" s="591">
        <f t="shared" si="10"/>
        <v>49756.86</v>
      </c>
      <c r="P24" s="591">
        <f t="shared" si="10"/>
        <v>49756.86</v>
      </c>
      <c r="Q24" s="591">
        <f t="shared" si="10"/>
        <v>49756.86</v>
      </c>
      <c r="R24" s="591">
        <f t="shared" si="10"/>
        <v>0</v>
      </c>
      <c r="S24" s="591">
        <f t="shared" si="10"/>
        <v>0</v>
      </c>
      <c r="T24" s="185">
        <f t="shared" si="2"/>
        <v>447811.73999999993</v>
      </c>
      <c r="U24" s="903"/>
    </row>
    <row r="25" spans="1:21" ht="39.75" customHeight="1" x14ac:dyDescent="0.25">
      <c r="A25" s="798">
        <v>150904</v>
      </c>
      <c r="B25" s="803">
        <v>268102</v>
      </c>
      <c r="C25" s="422" t="s">
        <v>755</v>
      </c>
      <c r="D25" s="889" t="s">
        <v>760</v>
      </c>
      <c r="E25" s="1007" t="s">
        <v>761</v>
      </c>
      <c r="F25" s="1005">
        <f>SUM(I25:S25)</f>
        <v>108396</v>
      </c>
      <c r="G25" s="591" t="s">
        <v>52</v>
      </c>
      <c r="H25" s="591"/>
      <c r="I25" s="591">
        <f t="shared" ref="I25:S25" si="11">VLOOKUP($A25&amp;$B25&amp;I$10,Base,8,FALSE)</f>
        <v>0</v>
      </c>
      <c r="J25" s="591">
        <f t="shared" si="11"/>
        <v>18065.86</v>
      </c>
      <c r="K25" s="591">
        <f t="shared" si="11"/>
        <v>9032.93</v>
      </c>
      <c r="L25" s="591">
        <f t="shared" si="11"/>
        <v>9032.93</v>
      </c>
      <c r="M25" s="591">
        <f t="shared" si="11"/>
        <v>9032.93</v>
      </c>
      <c r="N25" s="591">
        <f t="shared" si="11"/>
        <v>9032.93</v>
      </c>
      <c r="O25" s="591">
        <f t="shared" si="11"/>
        <v>9032.93</v>
      </c>
      <c r="P25" s="591">
        <f t="shared" si="11"/>
        <v>9032.93</v>
      </c>
      <c r="Q25" s="591">
        <f t="shared" si="11"/>
        <v>9033.56</v>
      </c>
      <c r="R25" s="591">
        <f t="shared" si="11"/>
        <v>9033</v>
      </c>
      <c r="S25" s="591">
        <f t="shared" si="11"/>
        <v>18066</v>
      </c>
      <c r="T25" s="185">
        <f ca="1">SUM($H25:(OFFSET($H25,0,AVANCE060826!$T$2)))</f>
        <v>81297</v>
      </c>
      <c r="U25" s="903"/>
    </row>
    <row r="26" spans="1:21" ht="39.75" customHeight="1" x14ac:dyDescent="0.25">
      <c r="A26" s="798">
        <v>150904</v>
      </c>
      <c r="B26" s="803">
        <v>268102</v>
      </c>
      <c r="C26" s="422"/>
      <c r="D26" s="889"/>
      <c r="E26" s="1007"/>
      <c r="F26" s="1006"/>
      <c r="G26" s="591" t="s">
        <v>53</v>
      </c>
      <c r="H26" s="591"/>
      <c r="I26" s="591">
        <f t="shared" ref="I26:S26" si="12">VLOOKUP($A26&amp;$B26&amp;I$10,Base,9,FALSE)</f>
        <v>0</v>
      </c>
      <c r="J26" s="591">
        <f t="shared" si="12"/>
        <v>18065.86</v>
      </c>
      <c r="K26" s="591">
        <f t="shared" si="12"/>
        <v>9032.93</v>
      </c>
      <c r="L26" s="591">
        <f t="shared" si="12"/>
        <v>9032.93</v>
      </c>
      <c r="M26" s="591">
        <f t="shared" si="12"/>
        <v>9032.93</v>
      </c>
      <c r="N26" s="591">
        <f t="shared" si="12"/>
        <v>9032.93</v>
      </c>
      <c r="O26" s="591">
        <f t="shared" si="12"/>
        <v>9032.93</v>
      </c>
      <c r="P26" s="591">
        <f t="shared" si="12"/>
        <v>9032.93</v>
      </c>
      <c r="Q26" s="591">
        <f t="shared" si="12"/>
        <v>9032.93</v>
      </c>
      <c r="R26" s="591">
        <f t="shared" si="12"/>
        <v>0</v>
      </c>
      <c r="S26" s="591">
        <f t="shared" si="12"/>
        <v>0</v>
      </c>
      <c r="T26" s="185">
        <f t="shared" si="2"/>
        <v>81296.37</v>
      </c>
      <c r="U26" s="903"/>
    </row>
    <row r="27" spans="1:21" ht="39.75" customHeight="1" x14ac:dyDescent="0.25">
      <c r="A27" s="798">
        <v>920201</v>
      </c>
      <c r="B27" s="802">
        <v>268103</v>
      </c>
      <c r="C27" s="422" t="s">
        <v>752</v>
      </c>
      <c r="D27" s="889" t="s">
        <v>762</v>
      </c>
      <c r="E27" s="1007" t="s">
        <v>763</v>
      </c>
      <c r="F27" s="1005">
        <f>SUM(I27:S27)</f>
        <v>361920</v>
      </c>
      <c r="G27" s="591" t="s">
        <v>52</v>
      </c>
      <c r="H27" s="591"/>
      <c r="I27" s="591">
        <f t="shared" ref="I27:S27" si="13">VLOOKUP($A27&amp;$B27&amp;I$10,Base,8,FALSE)</f>
        <v>0</v>
      </c>
      <c r="J27" s="591">
        <f t="shared" si="13"/>
        <v>60320</v>
      </c>
      <c r="K27" s="591">
        <f t="shared" si="13"/>
        <v>30160</v>
      </c>
      <c r="L27" s="591">
        <f t="shared" si="13"/>
        <v>30160</v>
      </c>
      <c r="M27" s="591">
        <f t="shared" si="13"/>
        <v>30160</v>
      </c>
      <c r="N27" s="591">
        <f t="shared" si="13"/>
        <v>30160</v>
      </c>
      <c r="O27" s="591">
        <f t="shared" si="13"/>
        <v>30160</v>
      </c>
      <c r="P27" s="591">
        <f t="shared" si="13"/>
        <v>30160</v>
      </c>
      <c r="Q27" s="591">
        <f t="shared" si="13"/>
        <v>30160</v>
      </c>
      <c r="R27" s="591">
        <f t="shared" si="13"/>
        <v>30160</v>
      </c>
      <c r="S27" s="591">
        <f t="shared" si="13"/>
        <v>60320</v>
      </c>
      <c r="T27" s="185">
        <f ca="1">SUM($H27:(OFFSET($H27,0,AVANCE060826!$T$2)))</f>
        <v>271440</v>
      </c>
      <c r="U27" s="903"/>
    </row>
    <row r="28" spans="1:21" ht="52.5" customHeight="1" x14ac:dyDescent="0.25">
      <c r="A28" s="798">
        <v>920201</v>
      </c>
      <c r="B28" s="802">
        <v>268103</v>
      </c>
      <c r="C28" s="422"/>
      <c r="D28" s="889"/>
      <c r="E28" s="1007"/>
      <c r="F28" s="1006"/>
      <c r="G28" s="591" t="s">
        <v>53</v>
      </c>
      <c r="H28" s="591"/>
      <c r="I28" s="591">
        <f t="shared" ref="I28:S28" si="14">VLOOKUP($A28&amp;$B28&amp;I$10,Base,9,FALSE)</f>
        <v>0</v>
      </c>
      <c r="J28" s="591">
        <f t="shared" si="14"/>
        <v>60320</v>
      </c>
      <c r="K28" s="591">
        <f t="shared" si="14"/>
        <v>30160</v>
      </c>
      <c r="L28" s="591">
        <f t="shared" si="14"/>
        <v>30160</v>
      </c>
      <c r="M28" s="591">
        <f t="shared" si="14"/>
        <v>30160</v>
      </c>
      <c r="N28" s="591">
        <f t="shared" si="14"/>
        <v>30160</v>
      </c>
      <c r="O28" s="591">
        <f t="shared" si="14"/>
        <v>30160</v>
      </c>
      <c r="P28" s="591">
        <f t="shared" si="14"/>
        <v>30160</v>
      </c>
      <c r="Q28" s="591">
        <f t="shared" si="14"/>
        <v>30160</v>
      </c>
      <c r="R28" s="591">
        <f t="shared" si="14"/>
        <v>0</v>
      </c>
      <c r="S28" s="591">
        <f t="shared" si="14"/>
        <v>0</v>
      </c>
      <c r="T28" s="185">
        <f t="shared" si="2"/>
        <v>271440</v>
      </c>
      <c r="U28" s="903"/>
    </row>
    <row r="29" spans="1:21" ht="39.75" customHeight="1" x14ac:dyDescent="0.25">
      <c r="A29" s="799">
        <v>150904</v>
      </c>
      <c r="B29" s="803">
        <v>268101</v>
      </c>
      <c r="C29" s="268" t="s">
        <v>755</v>
      </c>
      <c r="D29" s="889" t="s">
        <v>764</v>
      </c>
      <c r="E29" s="978" t="s">
        <v>765</v>
      </c>
      <c r="F29" s="1005">
        <f>SUM(I29:S29)</f>
        <v>93034.66</v>
      </c>
      <c r="G29" s="591" t="s">
        <v>52</v>
      </c>
      <c r="H29" s="591"/>
      <c r="I29" s="591">
        <f t="shared" ref="I29:S29" si="15">VLOOKUP($A29&amp;$B29&amp;I$10,Base,8,FALSE)</f>
        <v>0</v>
      </c>
      <c r="J29" s="591">
        <f t="shared" si="15"/>
        <v>15504.66</v>
      </c>
      <c r="K29" s="591">
        <f t="shared" si="15"/>
        <v>7752.33</v>
      </c>
      <c r="L29" s="591">
        <f t="shared" si="15"/>
        <v>7752.33</v>
      </c>
      <c r="M29" s="591">
        <f t="shared" si="15"/>
        <v>7752.33</v>
      </c>
      <c r="N29" s="591">
        <f t="shared" si="15"/>
        <v>7752.33</v>
      </c>
      <c r="O29" s="591">
        <f t="shared" si="15"/>
        <v>7752.33</v>
      </c>
      <c r="P29" s="591">
        <f t="shared" si="15"/>
        <v>7752.33</v>
      </c>
      <c r="Q29" s="591">
        <f t="shared" si="15"/>
        <v>7758.36</v>
      </c>
      <c r="R29" s="591">
        <f t="shared" si="15"/>
        <v>7753</v>
      </c>
      <c r="S29" s="591">
        <f t="shared" si="15"/>
        <v>15504.66</v>
      </c>
      <c r="T29" s="185">
        <f ca="1">SUM($H29:(OFFSET($H29,0,AVANCE060826!$T$2)))</f>
        <v>69777</v>
      </c>
      <c r="U29" s="903"/>
    </row>
    <row r="30" spans="1:21" ht="39.75" customHeight="1" x14ac:dyDescent="0.25">
      <c r="A30" s="799">
        <v>150904</v>
      </c>
      <c r="B30" s="803">
        <v>268101</v>
      </c>
      <c r="C30" s="268"/>
      <c r="D30" s="889"/>
      <c r="E30" s="978"/>
      <c r="F30" s="1006"/>
      <c r="G30" s="591" t="s">
        <v>53</v>
      </c>
      <c r="H30" s="591"/>
      <c r="I30" s="591">
        <f t="shared" ref="I30:S30" si="16">VLOOKUP($A30&amp;$B30&amp;I$10,Base,9,FALSE)</f>
        <v>0</v>
      </c>
      <c r="J30" s="591">
        <f t="shared" si="16"/>
        <v>15504.66</v>
      </c>
      <c r="K30" s="591">
        <f t="shared" si="16"/>
        <v>7752.33</v>
      </c>
      <c r="L30" s="591">
        <f t="shared" si="16"/>
        <v>7752.33</v>
      </c>
      <c r="M30" s="591">
        <f t="shared" si="16"/>
        <v>7752.33</v>
      </c>
      <c r="N30" s="591">
        <f t="shared" si="16"/>
        <v>7752.33</v>
      </c>
      <c r="O30" s="591">
        <f t="shared" si="16"/>
        <v>7752.33</v>
      </c>
      <c r="P30" s="591">
        <f t="shared" si="16"/>
        <v>7752.33</v>
      </c>
      <c r="Q30" s="591">
        <f t="shared" si="16"/>
        <v>7752.33</v>
      </c>
      <c r="R30" s="591">
        <f t="shared" si="16"/>
        <v>0</v>
      </c>
      <c r="S30" s="591">
        <f t="shared" si="16"/>
        <v>0</v>
      </c>
      <c r="T30" s="185">
        <f t="shared" si="2"/>
        <v>69770.97</v>
      </c>
      <c r="U30" s="903"/>
    </row>
    <row r="31" spans="1:21" ht="39.75" customHeight="1" x14ac:dyDescent="0.25">
      <c r="A31" s="778">
        <v>140100</v>
      </c>
      <c r="B31" s="803">
        <v>269001</v>
      </c>
      <c r="C31" s="268" t="s">
        <v>755</v>
      </c>
      <c r="D31" s="889" t="s">
        <v>766</v>
      </c>
      <c r="E31" s="978" t="s">
        <v>767</v>
      </c>
      <c r="F31" s="1005">
        <f>SUM(I31:S31)</f>
        <v>556800</v>
      </c>
      <c r="G31" s="591" t="s">
        <v>52</v>
      </c>
      <c r="H31" s="591"/>
      <c r="I31" s="591">
        <f t="shared" ref="I31:S31" si="17">VLOOKUP($A31&amp;$B31&amp;I$10,Base,8,FALSE)</f>
        <v>0</v>
      </c>
      <c r="J31" s="591">
        <f t="shared" si="17"/>
        <v>92799.66</v>
      </c>
      <c r="K31" s="591">
        <f t="shared" si="17"/>
        <v>46399.83</v>
      </c>
      <c r="L31" s="591">
        <f t="shared" si="17"/>
        <v>46399.83</v>
      </c>
      <c r="M31" s="591">
        <f t="shared" si="17"/>
        <v>46399.83</v>
      </c>
      <c r="N31" s="591">
        <f t="shared" si="17"/>
        <v>46399.83</v>
      </c>
      <c r="O31" s="591">
        <f t="shared" si="17"/>
        <v>46399.83</v>
      </c>
      <c r="P31" s="591">
        <f t="shared" si="17"/>
        <v>46399.83</v>
      </c>
      <c r="Q31" s="591">
        <f t="shared" si="17"/>
        <v>46401.36</v>
      </c>
      <c r="R31" s="591">
        <f t="shared" si="17"/>
        <v>46400</v>
      </c>
      <c r="S31" s="591">
        <f t="shared" si="17"/>
        <v>92800</v>
      </c>
      <c r="T31" s="185">
        <f ca="1">SUM($H31:(OFFSET($H31,0,AVANCE060826!$T$2)))</f>
        <v>417600.00000000006</v>
      </c>
      <c r="U31" s="903"/>
    </row>
    <row r="32" spans="1:21" ht="39.75" customHeight="1" x14ac:dyDescent="0.25">
      <c r="A32" s="778">
        <v>140100</v>
      </c>
      <c r="B32" s="803">
        <v>269001</v>
      </c>
      <c r="C32" s="411"/>
      <c r="D32" s="889"/>
      <c r="E32" s="978"/>
      <c r="F32" s="1006"/>
      <c r="G32" s="591" t="s">
        <v>53</v>
      </c>
      <c r="H32" s="591"/>
      <c r="I32" s="591">
        <f t="shared" ref="I32:S32" si="18">VLOOKUP($A32&amp;$B32&amp;I$10,Base,9,FALSE)</f>
        <v>0</v>
      </c>
      <c r="J32" s="591">
        <f t="shared" si="18"/>
        <v>92799.66</v>
      </c>
      <c r="K32" s="591">
        <f t="shared" si="18"/>
        <v>46399.83</v>
      </c>
      <c r="L32" s="591">
        <f t="shared" si="18"/>
        <v>46399.83</v>
      </c>
      <c r="M32" s="591">
        <f t="shared" si="18"/>
        <v>46399.83</v>
      </c>
      <c r="N32" s="591">
        <f t="shared" si="18"/>
        <v>46399.83</v>
      </c>
      <c r="O32" s="591">
        <f t="shared" si="18"/>
        <v>46399.83</v>
      </c>
      <c r="P32" s="591">
        <f t="shared" si="18"/>
        <v>46399.83</v>
      </c>
      <c r="Q32" s="591">
        <f t="shared" si="18"/>
        <v>46399.83</v>
      </c>
      <c r="R32" s="591">
        <f t="shared" si="18"/>
        <v>0</v>
      </c>
      <c r="S32" s="591">
        <f t="shared" si="18"/>
        <v>0</v>
      </c>
      <c r="T32" s="185">
        <f t="shared" si="2"/>
        <v>417598.47000000009</v>
      </c>
      <c r="U32" s="903"/>
    </row>
    <row r="33" spans="1:21" ht="39.75" customHeight="1" x14ac:dyDescent="0.25">
      <c r="A33" s="597">
        <v>380200</v>
      </c>
      <c r="B33" s="804">
        <v>265904</v>
      </c>
      <c r="C33" s="8"/>
      <c r="D33" s="874" t="s">
        <v>768</v>
      </c>
      <c r="E33" s="978" t="s">
        <v>721</v>
      </c>
      <c r="F33" s="1005">
        <f>SUM(I33:S33)</f>
        <v>876084</v>
      </c>
      <c r="G33" s="591" t="s">
        <v>52</v>
      </c>
      <c r="H33" s="591"/>
      <c r="I33" s="591">
        <f t="shared" ref="I33:S33" si="19">VLOOKUP($A33&amp;$B33&amp;I$10,Base,8,FALSE)</f>
        <v>0</v>
      </c>
      <c r="J33" s="591">
        <f t="shared" si="19"/>
        <v>73006.929999999993</v>
      </c>
      <c r="K33" s="591">
        <f t="shared" si="19"/>
        <v>146012.85</v>
      </c>
      <c r="L33" s="591">
        <f t="shared" si="19"/>
        <v>73006.929999999993</v>
      </c>
      <c r="M33" s="591">
        <f t="shared" si="19"/>
        <v>73006.929999999993</v>
      </c>
      <c r="N33" s="591">
        <f t="shared" si="19"/>
        <v>73006.929999999993</v>
      </c>
      <c r="O33" s="591">
        <f t="shared" si="19"/>
        <v>73006.929999999993</v>
      </c>
      <c r="P33" s="591">
        <f t="shared" si="19"/>
        <v>73006.929999999993</v>
      </c>
      <c r="Q33" s="591">
        <f t="shared" si="19"/>
        <v>73008.570000000007</v>
      </c>
      <c r="R33" s="591">
        <f t="shared" si="19"/>
        <v>73007</v>
      </c>
      <c r="S33" s="591">
        <f t="shared" si="19"/>
        <v>146014</v>
      </c>
      <c r="T33" s="185">
        <f ca="1">SUM($H33:(OFFSET($H33,0,AVANCE060826!$T$2)))</f>
        <v>657063</v>
      </c>
      <c r="U33" s="903"/>
    </row>
    <row r="34" spans="1:21" ht="39.75" customHeight="1" x14ac:dyDescent="0.25">
      <c r="A34" s="597">
        <v>380200</v>
      </c>
      <c r="B34" s="804">
        <v>265904</v>
      </c>
      <c r="C34" s="8"/>
      <c r="D34" s="874"/>
      <c r="E34" s="978"/>
      <c r="F34" s="1006"/>
      <c r="G34" s="591" t="s">
        <v>53</v>
      </c>
      <c r="H34" s="591"/>
      <c r="I34" s="591">
        <f t="shared" ref="I34:S34" si="20">VLOOKUP($A34&amp;$B34&amp;I$10,Base,9,FALSE)</f>
        <v>0</v>
      </c>
      <c r="J34" s="591">
        <f t="shared" si="20"/>
        <v>73006.929999999993</v>
      </c>
      <c r="K34" s="591">
        <f t="shared" si="20"/>
        <v>146012.85</v>
      </c>
      <c r="L34" s="591">
        <f t="shared" si="20"/>
        <v>73006.929999999993</v>
      </c>
      <c r="M34" s="591">
        <f t="shared" si="20"/>
        <v>73006.929999999993</v>
      </c>
      <c r="N34" s="591">
        <f t="shared" si="20"/>
        <v>73006.929999999993</v>
      </c>
      <c r="O34" s="591">
        <f t="shared" si="20"/>
        <v>73006.929999999993</v>
      </c>
      <c r="P34" s="591">
        <f t="shared" si="20"/>
        <v>73006.929999999993</v>
      </c>
      <c r="Q34" s="591">
        <f t="shared" si="20"/>
        <v>73006.929999999993</v>
      </c>
      <c r="R34" s="591">
        <f t="shared" si="20"/>
        <v>0</v>
      </c>
      <c r="S34" s="591">
        <f t="shared" si="20"/>
        <v>0</v>
      </c>
      <c r="T34" s="185">
        <f t="shared" si="2"/>
        <v>657061.35999999987</v>
      </c>
      <c r="U34" s="903"/>
    </row>
    <row r="35" spans="1:21" ht="39.75" customHeight="1" x14ac:dyDescent="0.25">
      <c r="A35" s="554">
        <v>150900</v>
      </c>
      <c r="B35" s="805">
        <v>268004</v>
      </c>
      <c r="C35" s="8"/>
      <c r="D35" s="907" t="s">
        <v>769</v>
      </c>
      <c r="E35" s="976" t="s">
        <v>770</v>
      </c>
      <c r="F35" s="1005">
        <f>SUM(I35:S35)</f>
        <v>1978487.9999999998</v>
      </c>
      <c r="G35" s="591" t="s">
        <v>52</v>
      </c>
      <c r="H35" s="591"/>
      <c r="I35" s="591">
        <f t="shared" ref="I35:S35" si="21">VLOOKUP($A35&amp;$B35&amp;I$10,Base,8,FALSE)</f>
        <v>0</v>
      </c>
      <c r="J35" s="591">
        <f t="shared" si="21"/>
        <v>329746.76</v>
      </c>
      <c r="K35" s="591">
        <f t="shared" si="21"/>
        <v>164873.35</v>
      </c>
      <c r="L35" s="591">
        <f t="shared" si="21"/>
        <v>164873.41</v>
      </c>
      <c r="M35" s="591">
        <f t="shared" si="21"/>
        <v>164873.35</v>
      </c>
      <c r="N35" s="591">
        <f t="shared" si="21"/>
        <v>164873.41</v>
      </c>
      <c r="O35" s="591">
        <f t="shared" si="21"/>
        <v>164873.41</v>
      </c>
      <c r="P35" s="591">
        <f t="shared" si="21"/>
        <v>164873.41</v>
      </c>
      <c r="Q35" s="591">
        <f t="shared" si="21"/>
        <v>164878.9</v>
      </c>
      <c r="R35" s="591">
        <f t="shared" si="21"/>
        <v>164874</v>
      </c>
      <c r="S35" s="591">
        <f t="shared" si="21"/>
        <v>329748</v>
      </c>
      <c r="T35" s="185">
        <f ca="1">SUM($H35:(OFFSET($H35,0,AVANCE060826!$T$2)))</f>
        <v>1483865.9999999998</v>
      </c>
      <c r="U35" s="235"/>
    </row>
    <row r="36" spans="1:21" ht="50.25" customHeight="1" x14ac:dyDescent="0.25">
      <c r="A36" s="554">
        <v>150900</v>
      </c>
      <c r="B36" s="805">
        <v>268004</v>
      </c>
      <c r="C36" s="8"/>
      <c r="D36" s="908"/>
      <c r="E36" s="977"/>
      <c r="F36" s="1006"/>
      <c r="G36" s="591" t="s">
        <v>53</v>
      </c>
      <c r="H36" s="591"/>
      <c r="I36" s="591">
        <f t="shared" ref="I36:S36" si="22">VLOOKUP($A36&amp;$B36&amp;I$10,Base,9,FALSE)</f>
        <v>0</v>
      </c>
      <c r="J36" s="591">
        <f t="shared" si="22"/>
        <v>329746.76</v>
      </c>
      <c r="K36" s="591">
        <f t="shared" si="22"/>
        <v>164873.35</v>
      </c>
      <c r="L36" s="591">
        <f t="shared" si="22"/>
        <v>164873.41</v>
      </c>
      <c r="M36" s="591">
        <f t="shared" si="22"/>
        <v>164873.35</v>
      </c>
      <c r="N36" s="591">
        <f t="shared" si="22"/>
        <v>164873.41</v>
      </c>
      <c r="O36" s="591">
        <f t="shared" si="22"/>
        <v>164873.41</v>
      </c>
      <c r="P36" s="591">
        <f t="shared" si="22"/>
        <v>164873.41</v>
      </c>
      <c r="Q36" s="591">
        <f t="shared" si="22"/>
        <v>164873.41</v>
      </c>
      <c r="R36" s="591">
        <f t="shared" si="22"/>
        <v>0</v>
      </c>
      <c r="S36" s="591">
        <f t="shared" si="22"/>
        <v>0</v>
      </c>
      <c r="T36" s="185">
        <f t="shared" si="2"/>
        <v>1483860.5099999998</v>
      </c>
      <c r="U36" s="235"/>
    </row>
    <row r="37" spans="1:21" ht="50.25" customHeight="1" x14ac:dyDescent="0.25">
      <c r="A37" s="800">
        <v>320200</v>
      </c>
      <c r="B37" s="803">
        <v>266301</v>
      </c>
      <c r="C37" s="268" t="s">
        <v>755</v>
      </c>
      <c r="D37" s="889" t="s">
        <v>772</v>
      </c>
      <c r="E37" s="978" t="s">
        <v>773</v>
      </c>
      <c r="F37" s="1005">
        <f>SUM(I37:S37)</f>
        <v>27766.5</v>
      </c>
      <c r="G37" s="591" t="s">
        <v>52</v>
      </c>
      <c r="H37" s="591"/>
      <c r="I37" s="591">
        <f t="shared" ref="I37:S37" si="23">VLOOKUP($A37&amp;$B37&amp;I$10,Base,8,FALSE)</f>
        <v>0</v>
      </c>
      <c r="J37" s="591">
        <f t="shared" si="23"/>
        <v>0</v>
      </c>
      <c r="K37" s="591">
        <f t="shared" si="23"/>
        <v>6939.75</v>
      </c>
      <c r="L37" s="591">
        <f t="shared" si="23"/>
        <v>2313.25</v>
      </c>
      <c r="M37" s="591">
        <f t="shared" si="23"/>
        <v>2313.25</v>
      </c>
      <c r="N37" s="591">
        <f t="shared" si="23"/>
        <v>2313.25</v>
      </c>
      <c r="O37" s="591">
        <f t="shared" si="23"/>
        <v>0</v>
      </c>
      <c r="P37" s="591">
        <f t="shared" si="23"/>
        <v>4626.5</v>
      </c>
      <c r="Q37" s="591">
        <f t="shared" si="23"/>
        <v>2320</v>
      </c>
      <c r="R37" s="591">
        <f t="shared" si="23"/>
        <v>2314</v>
      </c>
      <c r="S37" s="591">
        <f t="shared" si="23"/>
        <v>4626.5</v>
      </c>
      <c r="T37" s="185">
        <f ca="1">SUM($H37:(OFFSET($H37,0,AVANCE060826!$T$2)))</f>
        <v>20826</v>
      </c>
      <c r="U37" s="903"/>
    </row>
    <row r="38" spans="1:21" ht="50.25" customHeight="1" x14ac:dyDescent="0.25">
      <c r="A38" s="800">
        <v>320200</v>
      </c>
      <c r="B38" s="803">
        <v>266301</v>
      </c>
      <c r="C38" s="411"/>
      <c r="D38" s="889"/>
      <c r="E38" s="978"/>
      <c r="F38" s="1006"/>
      <c r="G38" s="591" t="s">
        <v>53</v>
      </c>
      <c r="H38" s="591"/>
      <c r="I38" s="591">
        <f t="shared" ref="I38:S38" si="24">VLOOKUP($A38&amp;$B38&amp;I$10,Base,9,FALSE)</f>
        <v>0</v>
      </c>
      <c r="J38" s="591">
        <f t="shared" si="24"/>
        <v>0</v>
      </c>
      <c r="K38" s="591">
        <f t="shared" si="24"/>
        <v>6939.75</v>
      </c>
      <c r="L38" s="591">
        <f t="shared" si="24"/>
        <v>2313.25</v>
      </c>
      <c r="M38" s="591">
        <f t="shared" si="24"/>
        <v>2313.25</v>
      </c>
      <c r="N38" s="591">
        <f t="shared" si="24"/>
        <v>2313.25</v>
      </c>
      <c r="O38" s="591">
        <f t="shared" si="24"/>
        <v>0</v>
      </c>
      <c r="P38" s="591">
        <f t="shared" si="24"/>
        <v>4626.5</v>
      </c>
      <c r="Q38" s="591">
        <f t="shared" si="24"/>
        <v>0</v>
      </c>
      <c r="R38" s="591">
        <f t="shared" si="24"/>
        <v>0</v>
      </c>
      <c r="S38" s="591">
        <f t="shared" si="24"/>
        <v>0</v>
      </c>
      <c r="T38" s="185">
        <f t="shared" si="2"/>
        <v>18506</v>
      </c>
      <c r="U38" s="903"/>
    </row>
    <row r="39" spans="1:21" ht="39.75" customHeight="1" x14ac:dyDescent="0.25">
      <c r="A39" s="272">
        <v>73100</v>
      </c>
      <c r="B39" s="806" t="s">
        <v>86</v>
      </c>
      <c r="C39" s="268"/>
      <c r="D39" s="889" t="s">
        <v>774</v>
      </c>
      <c r="E39" s="978" t="s">
        <v>255</v>
      </c>
      <c r="F39" s="1005">
        <f>SUM(I39:S39)</f>
        <v>189378</v>
      </c>
      <c r="G39" s="591" t="s">
        <v>52</v>
      </c>
      <c r="H39" s="591"/>
      <c r="I39" s="591">
        <f t="shared" ref="I39:S39" si="25">VLOOKUP($A39&amp;$B39&amp;I$10,Base,8,FALSE)</f>
        <v>0</v>
      </c>
      <c r="J39" s="591">
        <f t="shared" si="25"/>
        <v>31562.92</v>
      </c>
      <c r="K39" s="591">
        <f t="shared" si="25"/>
        <v>15781.46</v>
      </c>
      <c r="L39" s="591">
        <f t="shared" si="25"/>
        <v>15781.46</v>
      </c>
      <c r="M39" s="591">
        <f t="shared" si="25"/>
        <v>0</v>
      </c>
      <c r="N39" s="591">
        <f t="shared" si="25"/>
        <v>31562.92</v>
      </c>
      <c r="O39" s="591">
        <f t="shared" si="25"/>
        <v>15781.46</v>
      </c>
      <c r="P39" s="591">
        <f t="shared" si="25"/>
        <v>15781.46</v>
      </c>
      <c r="Q39" s="591">
        <f t="shared" si="25"/>
        <v>15786.32</v>
      </c>
      <c r="R39" s="591">
        <f t="shared" si="25"/>
        <v>15782</v>
      </c>
      <c r="S39" s="591">
        <f t="shared" si="25"/>
        <v>31558</v>
      </c>
      <c r="T39" s="185">
        <f ca="1">SUM($H39:(OFFSET($H39,0,AVANCE060826!$T$2)))</f>
        <v>142038</v>
      </c>
      <c r="U39" s="903"/>
    </row>
    <row r="40" spans="1:21" ht="39.75" customHeight="1" x14ac:dyDescent="0.25">
      <c r="A40" s="272">
        <v>73100</v>
      </c>
      <c r="B40" s="806" t="s">
        <v>86</v>
      </c>
      <c r="C40" s="411"/>
      <c r="D40" s="889"/>
      <c r="E40" s="978"/>
      <c r="F40" s="1006"/>
      <c r="G40" s="591" t="s">
        <v>53</v>
      </c>
      <c r="H40" s="591"/>
      <c r="I40" s="591">
        <f t="shared" ref="I40:S40" si="26">VLOOKUP($A40&amp;$B40&amp;I$10,Base,9,FALSE)</f>
        <v>0</v>
      </c>
      <c r="J40" s="591">
        <f t="shared" si="26"/>
        <v>31562.92</v>
      </c>
      <c r="K40" s="591">
        <f t="shared" si="26"/>
        <v>15781.46</v>
      </c>
      <c r="L40" s="591">
        <f t="shared" si="26"/>
        <v>15781.46</v>
      </c>
      <c r="M40" s="591">
        <f t="shared" si="26"/>
        <v>0</v>
      </c>
      <c r="N40" s="591">
        <f t="shared" si="26"/>
        <v>31562.92</v>
      </c>
      <c r="O40" s="591">
        <f t="shared" si="26"/>
        <v>15781.46</v>
      </c>
      <c r="P40" s="591">
        <f t="shared" si="26"/>
        <v>15781.46</v>
      </c>
      <c r="Q40" s="591">
        <f t="shared" si="26"/>
        <v>15781.46</v>
      </c>
      <c r="R40" s="591">
        <f t="shared" si="26"/>
        <v>0</v>
      </c>
      <c r="S40" s="591">
        <f t="shared" si="26"/>
        <v>0</v>
      </c>
      <c r="T40" s="185">
        <f t="shared" si="2"/>
        <v>142033.13999999998</v>
      </c>
      <c r="U40" s="903"/>
    </row>
    <row r="41" spans="1:21" ht="18.75" thickBot="1" x14ac:dyDescent="0.3">
      <c r="A41" s="40">
        <v>12</v>
      </c>
      <c r="B41" s="40"/>
      <c r="C41" s="24">
        <f>COUNT(#REF!)</f>
        <v>0</v>
      </c>
      <c r="D41" s="174"/>
      <c r="E41" s="598"/>
      <c r="F41" s="176">
        <f>SUM(F13:F39)</f>
        <v>11796792.48</v>
      </c>
      <c r="G41" s="591" t="s">
        <v>52</v>
      </c>
      <c r="H41" s="185">
        <f t="shared" ref="H41:Q41" si="27">+H13+H15+H17+J19+H21+H23+H25+H27+H29+H31+H33+H35+H39+H37</f>
        <v>579999.69999999995</v>
      </c>
      <c r="I41" s="185">
        <f t="shared" si="27"/>
        <v>289999.84999999998</v>
      </c>
      <c r="J41" s="185">
        <f t="shared" si="27"/>
        <v>1508680.2599999998</v>
      </c>
      <c r="K41" s="185">
        <f t="shared" si="27"/>
        <v>1072100.1199999999</v>
      </c>
      <c r="L41" s="185">
        <f t="shared" si="27"/>
        <v>956927.12</v>
      </c>
      <c r="M41" s="185">
        <f t="shared" si="27"/>
        <v>987546.65</v>
      </c>
      <c r="N41" s="185">
        <f t="shared" si="27"/>
        <v>1019108.73</v>
      </c>
      <c r="O41" s="185">
        <f t="shared" si="27"/>
        <v>1001014.0199999999</v>
      </c>
      <c r="P41" s="185">
        <f t="shared" si="27"/>
        <v>1005640.5199999999</v>
      </c>
      <c r="Q41" s="185">
        <f t="shared" si="27"/>
        <v>1366185.0400000003</v>
      </c>
      <c r="R41" s="185" t="e">
        <f>+R13+R15+R17+#REF!+R21+R23+R25+R27+R29+R31+R33+R35+R39+R37</f>
        <v>#REF!</v>
      </c>
      <c r="S41" s="185" t="e">
        <f>+S13+S15+S17+#REF!+S21+S23+S25+S27+S29+S31+S33+S35+S39+S37</f>
        <v>#REF!</v>
      </c>
      <c r="T41" s="185">
        <f ca="1">+T13+T15+T17+T19+T21+T23+T25+T27+T29+T31+T33+T35+T39+T37</f>
        <v>9787202.0099999998</v>
      </c>
      <c r="U41" s="599"/>
    </row>
    <row r="42" spans="1:21" ht="31.5" customHeight="1" x14ac:dyDescent="0.25">
      <c r="F42" s="3"/>
      <c r="G42" s="591" t="s">
        <v>53</v>
      </c>
      <c r="H42" s="185">
        <f t="shared" ref="H42:T42" si="28">+H14+H16+H18+H20+H22+H24+H26+H28+H30+H32+H34+H36+H40+H38</f>
        <v>0</v>
      </c>
      <c r="I42" s="185">
        <f t="shared" si="28"/>
        <v>0</v>
      </c>
      <c r="J42" s="185">
        <f t="shared" si="28"/>
        <v>1798680.1099999999</v>
      </c>
      <c r="K42" s="185">
        <f t="shared" si="28"/>
        <v>1072100.1199999999</v>
      </c>
      <c r="L42" s="185">
        <f t="shared" si="28"/>
        <v>956927.12</v>
      </c>
      <c r="M42" s="185">
        <f t="shared" si="28"/>
        <v>941145.59999999998</v>
      </c>
      <c r="N42" s="185">
        <f t="shared" si="28"/>
        <v>972708.58000000007</v>
      </c>
      <c r="O42" s="185">
        <f t="shared" si="28"/>
        <v>664614.02</v>
      </c>
      <c r="P42" s="185">
        <f t="shared" si="28"/>
        <v>1342040.1599999997</v>
      </c>
      <c r="Q42" s="185">
        <f t="shared" si="28"/>
        <v>1001013.84</v>
      </c>
      <c r="R42" s="185">
        <f t="shared" si="28"/>
        <v>0</v>
      </c>
      <c r="S42" s="185">
        <f t="shared" si="28"/>
        <v>0</v>
      </c>
      <c r="T42" s="185">
        <f t="shared" si="28"/>
        <v>8749229.5500000007</v>
      </c>
      <c r="U42" s="70"/>
    </row>
    <row r="44" spans="1:21" x14ac:dyDescent="0.25">
      <c r="F44" s="9"/>
      <c r="T44" s="9"/>
    </row>
  </sheetData>
  <autoFilter ref="B12:B42"/>
  <mergeCells count="75">
    <mergeCell ref="U39:U40"/>
    <mergeCell ref="U37:U38"/>
    <mergeCell ref="D39:D40"/>
    <mergeCell ref="E39:E40"/>
    <mergeCell ref="F39:F40"/>
    <mergeCell ref="U31:U32"/>
    <mergeCell ref="D33:D34"/>
    <mergeCell ref="E33:E34"/>
    <mergeCell ref="F33:F34"/>
    <mergeCell ref="U33:U34"/>
    <mergeCell ref="D31:D32"/>
    <mergeCell ref="E31:E32"/>
    <mergeCell ref="F31:F32"/>
    <mergeCell ref="D35:D36"/>
    <mergeCell ref="E35:E36"/>
    <mergeCell ref="F35:F36"/>
    <mergeCell ref="D37:D38"/>
    <mergeCell ref="E37:E38"/>
    <mergeCell ref="F37:F38"/>
    <mergeCell ref="U27:U28"/>
    <mergeCell ref="D29:D30"/>
    <mergeCell ref="E29:E30"/>
    <mergeCell ref="F29:F30"/>
    <mergeCell ref="U29:U30"/>
    <mergeCell ref="D27:D28"/>
    <mergeCell ref="E27:E28"/>
    <mergeCell ref="F27:F28"/>
    <mergeCell ref="U23:U24"/>
    <mergeCell ref="D25:D26"/>
    <mergeCell ref="E25:E26"/>
    <mergeCell ref="F25:F26"/>
    <mergeCell ref="U25:U26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0" fitToHeight="21" orientation="landscape" r:id="rId1"/>
  <rowBreaks count="1" manualBreakCount="1">
    <brk id="50" min="3" max="11" man="1"/>
  </rowBreaks>
  <ignoredErrors>
    <ignoredError sqref="I20:O20 T14:T38 R20:S20" formula="1"/>
  </ignoredError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48"/>
  <sheetViews>
    <sheetView showGridLines="0" topLeftCell="A5" zoomScaleNormal="100" zoomScaleSheetLayoutView="80" zoomScalePageLayoutView="80" workbookViewId="0">
      <pane xSplit="1" topLeftCell="B1" activePane="topRight" state="frozen"/>
      <selection pane="topRight" activeCell="D14" sqref="D14:E26"/>
    </sheetView>
  </sheetViews>
  <sheetFormatPr baseColWidth="10" defaultRowHeight="15" x14ac:dyDescent="0.25"/>
  <cols>
    <col min="1" max="1" width="8.5703125" style="306" customWidth="1"/>
    <col min="2" max="2" width="9.42578125" style="306" customWidth="1"/>
    <col min="3" max="3" width="0.28515625" customWidth="1"/>
    <col min="4" max="4" width="26.28515625" style="306" customWidth="1"/>
    <col min="5" max="5" width="27.28515625" style="586" customWidth="1"/>
    <col min="6" max="7" width="16.85546875" customWidth="1"/>
    <col min="8" max="8" width="19.140625" customWidth="1"/>
    <col min="9" max="9" width="16.7109375" style="192" customWidth="1"/>
    <col min="10" max="10" width="15.5703125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x14ac:dyDescent="0.25">
      <c r="D1" s="587" t="s">
        <v>25</v>
      </c>
      <c r="M1" s="11"/>
    </row>
    <row r="2" spans="1:13" x14ac:dyDescent="0.25">
      <c r="D2" s="587" t="s">
        <v>24</v>
      </c>
    </row>
    <row r="3" spans="1:13" x14ac:dyDescent="0.25">
      <c r="D3" s="587" t="s">
        <v>23</v>
      </c>
    </row>
    <row r="4" spans="1:13" x14ac:dyDescent="0.25">
      <c r="D4" s="587" t="s">
        <v>22</v>
      </c>
      <c r="K4" s="9"/>
      <c r="L4" s="9"/>
    </row>
    <row r="5" spans="1:13" x14ac:dyDescent="0.25">
      <c r="D5" s="587" t="s">
        <v>21</v>
      </c>
    </row>
    <row r="6" spans="1:13" ht="20.25" x14ac:dyDescent="0.3">
      <c r="D6" s="589" t="s">
        <v>20</v>
      </c>
      <c r="E6" s="588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x14ac:dyDescent="0.25">
      <c r="D8" s="590" t="s">
        <v>31</v>
      </c>
      <c r="E8" s="587" t="s">
        <v>146</v>
      </c>
      <c r="F8" s="9"/>
      <c r="G8" s="9"/>
      <c r="H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1002" t="s">
        <v>15</v>
      </c>
      <c r="F10" s="836" t="s">
        <v>26</v>
      </c>
      <c r="G10" s="837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9" t="s">
        <v>14</v>
      </c>
    </row>
    <row r="11" spans="1:13" ht="34.5" hidden="1" customHeight="1" thickBot="1" x14ac:dyDescent="0.3">
      <c r="A11" s="33" t="s">
        <v>13</v>
      </c>
      <c r="B11" s="25" t="s">
        <v>12</v>
      </c>
      <c r="C11" s="845"/>
      <c r="D11" s="891"/>
      <c r="E11" s="1003"/>
      <c r="F11" s="893"/>
      <c r="G11" s="838"/>
      <c r="H11" s="58" t="s">
        <v>91</v>
      </c>
      <c r="I11" s="570" t="s">
        <v>92</v>
      </c>
      <c r="J11" s="72" t="s">
        <v>962</v>
      </c>
      <c r="K11" s="26" t="s">
        <v>29</v>
      </c>
      <c r="L11" s="838"/>
      <c r="M11" s="841"/>
    </row>
    <row r="12" spans="1:13" ht="78.75" hidden="1" customHeight="1" thickTop="1" x14ac:dyDescent="0.25">
      <c r="A12" s="381">
        <v>272402</v>
      </c>
      <c r="B12" s="308">
        <v>200200</v>
      </c>
      <c r="C12" s="382" t="s">
        <v>461</v>
      </c>
      <c r="D12" s="396" t="s">
        <v>780</v>
      </c>
      <c r="E12" s="397" t="s">
        <v>781</v>
      </c>
      <c r="F12" s="350">
        <f>SON_Calendario!F13</f>
        <v>5142048</v>
      </c>
      <c r="G12" s="351">
        <f>F12/12</f>
        <v>428504</v>
      </c>
      <c r="H12" s="65">
        <f ca="1">SON_Calendario!T13</f>
        <v>3856536</v>
      </c>
      <c r="I12" s="65">
        <f>SON_Calendario!T14</f>
        <v>3428032</v>
      </c>
      <c r="J12" s="73">
        <f ca="1">H12-I12</f>
        <v>428504</v>
      </c>
      <c r="K12" s="74">
        <f ca="1">+J12/H12*100</f>
        <v>11.111111111111111</v>
      </c>
      <c r="L12" s="75">
        <f ca="1">+I12/H12*100</f>
        <v>88.888888888888886</v>
      </c>
      <c r="M12" s="574" t="s">
        <v>980</v>
      </c>
    </row>
    <row r="13" spans="1:13" ht="36" hidden="1" customHeight="1" x14ac:dyDescent="0.25">
      <c r="A13" s="385">
        <v>272420</v>
      </c>
      <c r="B13" s="311">
        <v>200200</v>
      </c>
      <c r="C13" s="314" t="s">
        <v>464</v>
      </c>
      <c r="D13" s="396" t="s">
        <v>782</v>
      </c>
      <c r="E13" s="397" t="s">
        <v>436</v>
      </c>
      <c r="F13" s="350">
        <f>SON_Calendario!F15</f>
        <v>61332</v>
      </c>
      <c r="G13" s="351">
        <f>F13/12</f>
        <v>5111</v>
      </c>
      <c r="H13" s="65">
        <f ca="1">SON_Calendario!T15</f>
        <v>45999</v>
      </c>
      <c r="I13" s="129">
        <f>SON_Calendario!T16</f>
        <v>40888</v>
      </c>
      <c r="J13" s="73">
        <f t="shared" ref="J13:J29" ca="1" si="0">H13-I13</f>
        <v>5111</v>
      </c>
      <c r="K13" s="74">
        <f ca="1">+J13/H13*100</f>
        <v>11.111111111111111</v>
      </c>
      <c r="L13" s="75">
        <f ca="1">+I13/H13*100</f>
        <v>88.888888888888886</v>
      </c>
      <c r="M13" s="574" t="s">
        <v>980</v>
      </c>
    </row>
    <row r="14" spans="1:13" ht="48" customHeight="1" x14ac:dyDescent="0.25">
      <c r="A14" s="385">
        <v>272440</v>
      </c>
      <c r="B14" s="311">
        <v>200200</v>
      </c>
      <c r="C14" s="314" t="s">
        <v>467</v>
      </c>
      <c r="D14" s="396" t="s">
        <v>783</v>
      </c>
      <c r="E14" s="397" t="s">
        <v>784</v>
      </c>
      <c r="F14" s="350">
        <f>SON_Calendario!F17</f>
        <v>44544</v>
      </c>
      <c r="G14" s="351">
        <f t="shared" ref="G14:G28" si="1">F14/12</f>
        <v>3712</v>
      </c>
      <c r="H14" s="65">
        <f ca="1">SON_Calendario!T17</f>
        <v>33408</v>
      </c>
      <c r="I14" s="129">
        <f>SON_Calendario!T18</f>
        <v>25984</v>
      </c>
      <c r="J14" s="73">
        <f t="shared" ca="1" si="0"/>
        <v>7424</v>
      </c>
      <c r="K14" s="74">
        <f ca="1">+J14/H14*100</f>
        <v>22.222222222222221</v>
      </c>
      <c r="L14" s="75">
        <f ca="1">+I14/H14*100</f>
        <v>77.777777777777786</v>
      </c>
      <c r="M14" s="574" t="s">
        <v>967</v>
      </c>
    </row>
    <row r="15" spans="1:13" ht="56.25" hidden="1" customHeight="1" x14ac:dyDescent="0.25">
      <c r="A15" s="385">
        <v>272460</v>
      </c>
      <c r="B15" s="311">
        <v>200200</v>
      </c>
      <c r="C15" s="314" t="s">
        <v>470</v>
      </c>
      <c r="D15" s="396" t="s">
        <v>785</v>
      </c>
      <c r="E15" s="397" t="s">
        <v>786</v>
      </c>
      <c r="F15" s="350">
        <f>SON_Calendario!F19</f>
        <v>436100</v>
      </c>
      <c r="G15" s="351">
        <f t="shared" si="1"/>
        <v>36341.666666666664</v>
      </c>
      <c r="H15" s="65">
        <f ca="1">SON_Calendario!T19</f>
        <v>327078</v>
      </c>
      <c r="I15" s="129">
        <f>SON_Calendario!T20</f>
        <v>290722.96000000002</v>
      </c>
      <c r="J15" s="73">
        <f t="shared" ca="1" si="0"/>
        <v>36355.039999999979</v>
      </c>
      <c r="K15" s="74">
        <f t="shared" ref="K15:K28" ca="1" si="2">+J15/H15*100</f>
        <v>11.115097927711426</v>
      </c>
      <c r="L15" s="75">
        <f t="shared" ref="L15:L28" ca="1" si="3">+I15/H15*100</f>
        <v>88.884902072288568</v>
      </c>
      <c r="M15" s="574" t="s">
        <v>980</v>
      </c>
    </row>
    <row r="16" spans="1:13" ht="44.25" hidden="1" customHeight="1" x14ac:dyDescent="0.25">
      <c r="A16" s="385">
        <v>276308</v>
      </c>
      <c r="B16" s="311">
        <v>320200</v>
      </c>
      <c r="C16" s="314" t="s">
        <v>475</v>
      </c>
      <c r="D16" s="396" t="s">
        <v>787</v>
      </c>
      <c r="E16" s="397" t="s">
        <v>439</v>
      </c>
      <c r="F16" s="350">
        <f>SON_Calendario!F21</f>
        <v>319604</v>
      </c>
      <c r="G16" s="351">
        <f t="shared" si="1"/>
        <v>26633.666666666668</v>
      </c>
      <c r="H16" s="65">
        <f ca="1">SON_Calendario!T21</f>
        <v>239706</v>
      </c>
      <c r="I16" s="129">
        <f>SON_Calendario!T22</f>
        <v>213068.72</v>
      </c>
      <c r="J16" s="73">
        <f t="shared" ca="1" si="0"/>
        <v>26637.279999999999</v>
      </c>
      <c r="K16" s="74">
        <f t="shared" ca="1" si="2"/>
        <v>11.112479453997812</v>
      </c>
      <c r="L16" s="75">
        <f t="shared" ca="1" si="3"/>
        <v>88.887520546002179</v>
      </c>
      <c r="M16" s="574" t="s">
        <v>980</v>
      </c>
    </row>
    <row r="17" spans="1:13" ht="61.5" hidden="1" customHeight="1" x14ac:dyDescent="0.25">
      <c r="A17" s="618" t="s">
        <v>788</v>
      </c>
      <c r="B17" s="346" t="s">
        <v>789</v>
      </c>
      <c r="C17" s="619" t="s">
        <v>478</v>
      </c>
      <c r="D17" s="624" t="s">
        <v>790</v>
      </c>
      <c r="E17" s="625" t="s">
        <v>791</v>
      </c>
      <c r="F17" s="350">
        <f>SON_Calendario!F23</f>
        <v>568814.4</v>
      </c>
      <c r="G17" s="351">
        <f t="shared" si="1"/>
        <v>47401.200000000004</v>
      </c>
      <c r="H17" s="65">
        <f ca="1">SON_Calendario!T23</f>
        <v>474012.00000000006</v>
      </c>
      <c r="I17" s="129">
        <f>SON_Calendario!T24</f>
        <v>379201.6</v>
      </c>
      <c r="J17" s="73">
        <f t="shared" ca="1" si="0"/>
        <v>94810.400000000081</v>
      </c>
      <c r="K17" s="74">
        <f t="shared" ca="1" si="2"/>
        <v>20.001687720985981</v>
      </c>
      <c r="L17" s="75">
        <f t="shared" ca="1" si="3"/>
        <v>79.998312279014016</v>
      </c>
      <c r="M17" s="574" t="s">
        <v>726</v>
      </c>
    </row>
    <row r="18" spans="1:13" ht="74.25" hidden="1" customHeight="1" x14ac:dyDescent="0.25">
      <c r="A18" s="385">
        <v>279108</v>
      </c>
      <c r="B18" s="311">
        <v>900110</v>
      </c>
      <c r="C18" s="314" t="s">
        <v>470</v>
      </c>
      <c r="D18" s="396" t="s">
        <v>807</v>
      </c>
      <c r="E18" s="397" t="s">
        <v>793</v>
      </c>
      <c r="F18" s="350">
        <f>SON_Calendario!F25</f>
        <v>2574949</v>
      </c>
      <c r="G18" s="351">
        <f t="shared" si="1"/>
        <v>214579.08333333334</v>
      </c>
      <c r="H18" s="65">
        <f ca="1">SON_Calendario!T25</f>
        <v>1931211</v>
      </c>
      <c r="I18" s="129">
        <f>SON_Calendario!T26</f>
        <v>1716624</v>
      </c>
      <c r="J18" s="73">
        <f t="shared" ca="1" si="0"/>
        <v>214587</v>
      </c>
      <c r="K18" s="74">
        <f t="shared" ca="1" si="2"/>
        <v>11.111525358958705</v>
      </c>
      <c r="L18" s="75">
        <f t="shared" ca="1" si="3"/>
        <v>88.888474641041299</v>
      </c>
      <c r="M18" s="574" t="s">
        <v>980</v>
      </c>
    </row>
    <row r="19" spans="1:13" ht="57" hidden="1" customHeight="1" x14ac:dyDescent="0.25">
      <c r="A19" s="618">
        <v>279104</v>
      </c>
      <c r="B19" s="346">
        <v>900110</v>
      </c>
      <c r="C19" s="619" t="s">
        <v>478</v>
      </c>
      <c r="D19" s="624" t="s">
        <v>794</v>
      </c>
      <c r="E19" s="625" t="s">
        <v>190</v>
      </c>
      <c r="F19" s="350">
        <f>SON_Calendario!F27</f>
        <v>517104</v>
      </c>
      <c r="G19" s="351">
        <f t="shared" si="1"/>
        <v>43092</v>
      </c>
      <c r="H19" s="65">
        <f ca="1">SON_Calendario!T27</f>
        <v>387828</v>
      </c>
      <c r="I19" s="129">
        <f>SON_Calendario!T28</f>
        <v>344736</v>
      </c>
      <c r="J19" s="73">
        <f t="shared" ca="1" si="0"/>
        <v>43092</v>
      </c>
      <c r="K19" s="74">
        <f t="shared" ca="1" si="2"/>
        <v>11.111111111111111</v>
      </c>
      <c r="L19" s="75">
        <f t="shared" ca="1" si="3"/>
        <v>88.888888888888886</v>
      </c>
      <c r="M19" s="574" t="s">
        <v>980</v>
      </c>
    </row>
    <row r="20" spans="1:13" ht="63.75" hidden="1" customHeight="1" x14ac:dyDescent="0.25">
      <c r="A20" s="618">
        <v>279102</v>
      </c>
      <c r="B20" s="346">
        <v>900110</v>
      </c>
      <c r="C20" s="619" t="s">
        <v>485</v>
      </c>
      <c r="D20" s="624" t="s">
        <v>795</v>
      </c>
      <c r="E20" s="625" t="s">
        <v>190</v>
      </c>
      <c r="F20" s="350">
        <f>SON_Calendario!F29</f>
        <v>375677</v>
      </c>
      <c r="G20" s="351">
        <f t="shared" si="1"/>
        <v>31306.416666666668</v>
      </c>
      <c r="H20" s="65">
        <f ca="1">SON_Calendario!T29</f>
        <v>281763</v>
      </c>
      <c r="I20" s="129">
        <f>SON_Calendario!T30</f>
        <v>187835.94</v>
      </c>
      <c r="J20" s="73">
        <f t="shared" ca="1" si="0"/>
        <v>93927.06</v>
      </c>
      <c r="K20" s="74">
        <f t="shared" ca="1" si="2"/>
        <v>33.335484077043468</v>
      </c>
      <c r="L20" s="75">
        <f t="shared" ca="1" si="3"/>
        <v>66.664515922956525</v>
      </c>
      <c r="M20" s="574" t="s">
        <v>726</v>
      </c>
    </row>
    <row r="21" spans="1:13" ht="67.5" hidden="1" customHeight="1" x14ac:dyDescent="0.25">
      <c r="A21" s="385">
        <v>279103</v>
      </c>
      <c r="B21" s="311">
        <v>900110</v>
      </c>
      <c r="C21" s="314" t="s">
        <v>488</v>
      </c>
      <c r="D21" s="396" t="s">
        <v>808</v>
      </c>
      <c r="E21" s="397" t="s">
        <v>190</v>
      </c>
      <c r="F21" s="350">
        <f>SON_Calendario!F31</f>
        <v>1393392</v>
      </c>
      <c r="G21" s="351">
        <f t="shared" si="1"/>
        <v>116116</v>
      </c>
      <c r="H21" s="65">
        <f ca="1">SON_Calendario!T31</f>
        <v>1045044</v>
      </c>
      <c r="I21" s="129">
        <f>SON_Calendario!T32</f>
        <v>928928</v>
      </c>
      <c r="J21" s="73">
        <f t="shared" ca="1" si="0"/>
        <v>116116</v>
      </c>
      <c r="K21" s="74">
        <f t="shared" ca="1" si="2"/>
        <v>11.111111111111111</v>
      </c>
      <c r="L21" s="75">
        <f t="shared" ca="1" si="3"/>
        <v>88.888888888888886</v>
      </c>
      <c r="M21" s="574" t="s">
        <v>987</v>
      </c>
    </row>
    <row r="22" spans="1:13" ht="84.75" customHeight="1" x14ac:dyDescent="0.25">
      <c r="A22" s="385" t="s">
        <v>797</v>
      </c>
      <c r="B22" s="311" t="s">
        <v>798</v>
      </c>
      <c r="C22" s="314" t="s">
        <v>475</v>
      </c>
      <c r="D22" s="396" t="s">
        <v>799</v>
      </c>
      <c r="E22" s="397" t="s">
        <v>793</v>
      </c>
      <c r="F22" s="350">
        <f>SON_Calendario!F33</f>
        <v>238304.69000000006</v>
      </c>
      <c r="G22" s="351">
        <f t="shared" si="1"/>
        <v>19858.72416666667</v>
      </c>
      <c r="H22" s="65">
        <f ca="1">SON_Calendario!T33</f>
        <v>198587.2416666667</v>
      </c>
      <c r="I22" s="129">
        <f>SON_Calendario!T34</f>
        <v>139011.10999999999</v>
      </c>
      <c r="J22" s="73">
        <f t="shared" ca="1" si="0"/>
        <v>59576.131666666712</v>
      </c>
      <c r="K22" s="74">
        <f t="shared" ca="1" si="2"/>
        <v>29.999979438088292</v>
      </c>
      <c r="L22" s="75">
        <f t="shared" ca="1" si="3"/>
        <v>70.000020561911711</v>
      </c>
      <c r="M22" s="574" t="s">
        <v>967</v>
      </c>
    </row>
    <row r="23" spans="1:13" ht="58.5" hidden="1" customHeight="1" x14ac:dyDescent="0.25">
      <c r="A23" s="385">
        <v>275901</v>
      </c>
      <c r="B23" s="311">
        <v>380200</v>
      </c>
      <c r="C23" s="314" t="s">
        <v>461</v>
      </c>
      <c r="D23" s="396" t="s">
        <v>800</v>
      </c>
      <c r="E23" s="397" t="s">
        <v>196</v>
      </c>
      <c r="F23" s="350">
        <f>SON_Calendario!F35</f>
        <v>3055440</v>
      </c>
      <c r="G23" s="351">
        <f t="shared" si="1"/>
        <v>254620</v>
      </c>
      <c r="H23" s="65">
        <f ca="1">SON_Calendario!T35</f>
        <v>2291580</v>
      </c>
      <c r="I23" s="129">
        <f>SON_Calendario!T36</f>
        <v>2036960</v>
      </c>
      <c r="J23" s="73">
        <f t="shared" ca="1" si="0"/>
        <v>254620</v>
      </c>
      <c r="K23" s="74">
        <f t="shared" ca="1" si="2"/>
        <v>11.111111111111111</v>
      </c>
      <c r="L23" s="75">
        <f t="shared" ca="1" si="3"/>
        <v>88.888888888888886</v>
      </c>
      <c r="M23" s="574" t="s">
        <v>980</v>
      </c>
    </row>
    <row r="24" spans="1:13" ht="62.25" hidden="1" customHeight="1" x14ac:dyDescent="0.25">
      <c r="A24" s="618">
        <v>275903</v>
      </c>
      <c r="B24" s="346">
        <v>380200</v>
      </c>
      <c r="C24" s="619" t="s">
        <v>470</v>
      </c>
      <c r="D24" s="624" t="s">
        <v>801</v>
      </c>
      <c r="E24" s="625" t="s">
        <v>196</v>
      </c>
      <c r="F24" s="350">
        <f>SON_Calendario!F37</f>
        <v>303387</v>
      </c>
      <c r="G24" s="351">
        <f t="shared" si="1"/>
        <v>25282.25</v>
      </c>
      <c r="H24" s="65">
        <f ca="1">SON_Calendario!T37</f>
        <v>227547</v>
      </c>
      <c r="I24" s="129">
        <f>SON_Calendario!T38</f>
        <v>202257.6</v>
      </c>
      <c r="J24" s="73">
        <f t="shared" ca="1" si="0"/>
        <v>25289.399999999994</v>
      </c>
      <c r="K24" s="74">
        <f t="shared" ca="1" si="2"/>
        <v>11.113923716858492</v>
      </c>
      <c r="L24" s="75">
        <f t="shared" ca="1" si="3"/>
        <v>88.886076283141506</v>
      </c>
      <c r="M24" s="574" t="s">
        <v>980</v>
      </c>
    </row>
    <row r="25" spans="1:13" ht="55.5" hidden="1" customHeight="1" x14ac:dyDescent="0.25">
      <c r="A25" s="385">
        <v>278010</v>
      </c>
      <c r="B25" s="311">
        <v>920201</v>
      </c>
      <c r="C25" s="314" t="s">
        <v>485</v>
      </c>
      <c r="D25" s="396" t="s">
        <v>802</v>
      </c>
      <c r="E25" s="397" t="s">
        <v>210</v>
      </c>
      <c r="F25" s="350">
        <f>SON_Calendario!F39</f>
        <v>88086</v>
      </c>
      <c r="G25" s="351">
        <f t="shared" si="1"/>
        <v>7340.5</v>
      </c>
      <c r="H25" s="65">
        <f ca="1">SON_Calendario!T39</f>
        <v>66069</v>
      </c>
      <c r="I25" s="129">
        <f>SON_Calendario!T40</f>
        <v>58721.72</v>
      </c>
      <c r="J25" s="73">
        <f t="shared" ca="1" si="0"/>
        <v>7347.2799999999988</v>
      </c>
      <c r="K25" s="74">
        <f t="shared" ca="1" si="2"/>
        <v>11.120616325356822</v>
      </c>
      <c r="L25" s="75">
        <f t="shared" ca="1" si="3"/>
        <v>88.879383674643179</v>
      </c>
      <c r="M25" s="574" t="s">
        <v>980</v>
      </c>
    </row>
    <row r="26" spans="1:13" ht="49.5" customHeight="1" x14ac:dyDescent="0.25">
      <c r="A26" s="618">
        <v>278004</v>
      </c>
      <c r="B26" s="346">
        <v>920201</v>
      </c>
      <c r="C26" s="619" t="s">
        <v>488</v>
      </c>
      <c r="D26" s="624" t="s">
        <v>803</v>
      </c>
      <c r="E26" s="625" t="s">
        <v>210</v>
      </c>
      <c r="F26" s="350">
        <f>SON_Calendario!F41</f>
        <v>151506</v>
      </c>
      <c r="G26" s="351">
        <f t="shared" si="1"/>
        <v>12625.5</v>
      </c>
      <c r="H26" s="65">
        <f ca="1">SON_Calendario!T41</f>
        <v>113634</v>
      </c>
      <c r="I26" s="129">
        <f>SON_Calendario!T42</f>
        <v>88378.08</v>
      </c>
      <c r="J26" s="73">
        <f t="shared" ca="1" si="0"/>
        <v>25255.919999999998</v>
      </c>
      <c r="K26" s="74">
        <f t="shared" ca="1" si="2"/>
        <v>22.225671893975392</v>
      </c>
      <c r="L26" s="75">
        <f t="shared" ca="1" si="3"/>
        <v>77.774328106024598</v>
      </c>
      <c r="M26" s="574" t="s">
        <v>967</v>
      </c>
    </row>
    <row r="27" spans="1:13" ht="70.5" hidden="1" customHeight="1" x14ac:dyDescent="0.25">
      <c r="A27" s="618">
        <v>278002</v>
      </c>
      <c r="B27" s="346">
        <v>150900</v>
      </c>
      <c r="C27" s="619" t="s">
        <v>497</v>
      </c>
      <c r="D27" s="624" t="s">
        <v>804</v>
      </c>
      <c r="E27" s="625" t="s">
        <v>805</v>
      </c>
      <c r="F27" s="350">
        <f>SON_Calendario!F43</f>
        <v>622337</v>
      </c>
      <c r="G27" s="351">
        <f t="shared" si="1"/>
        <v>51861.416666666664</v>
      </c>
      <c r="H27" s="65">
        <f ca="1">SON_Calendario!T43</f>
        <v>466757.99999999994</v>
      </c>
      <c r="I27" s="129">
        <f>SON_Calendario!T44</f>
        <v>414879.35999999993</v>
      </c>
      <c r="J27" s="73">
        <f t="shared" ca="1" si="0"/>
        <v>51878.640000000014</v>
      </c>
      <c r="K27" s="74">
        <f t="shared" ca="1" si="2"/>
        <v>11.11467612767216</v>
      </c>
      <c r="L27" s="75">
        <f t="shared" ca="1" si="3"/>
        <v>88.885323872327831</v>
      </c>
      <c r="M27" s="574" t="s">
        <v>980</v>
      </c>
    </row>
    <row r="28" spans="1:13" ht="60" hidden="1" customHeight="1" thickBot="1" x14ac:dyDescent="0.3">
      <c r="A28" s="621">
        <v>278009</v>
      </c>
      <c r="B28" s="346">
        <v>920201</v>
      </c>
      <c r="C28" s="619" t="s">
        <v>461</v>
      </c>
      <c r="D28" s="626" t="s">
        <v>806</v>
      </c>
      <c r="E28" s="627" t="s">
        <v>210</v>
      </c>
      <c r="F28" s="350">
        <f>SON_Calendario!F45</f>
        <v>459966</v>
      </c>
      <c r="G28" s="351">
        <f t="shared" si="1"/>
        <v>38330.5</v>
      </c>
      <c r="H28" s="128">
        <f ca="1">SON_Calendario!T45</f>
        <v>344979</v>
      </c>
      <c r="I28" s="69">
        <f>SON_Calendario!T46</f>
        <v>306630.26</v>
      </c>
      <c r="J28" s="81">
        <f t="shared" ca="1" si="0"/>
        <v>38348.739999999991</v>
      </c>
      <c r="K28" s="82">
        <f t="shared" ca="1" si="2"/>
        <v>11.116253453108737</v>
      </c>
      <c r="L28" s="83">
        <f t="shared" ca="1" si="3"/>
        <v>88.88374654689126</v>
      </c>
      <c r="M28" s="574" t="s">
        <v>987</v>
      </c>
    </row>
    <row r="29" spans="1:13" ht="39" hidden="1" customHeight="1" thickBot="1" x14ac:dyDescent="0.3">
      <c r="A29" s="4"/>
      <c r="B29" s="40">
        <v>17</v>
      </c>
      <c r="C29" s="24">
        <f>COUNT(#REF!)</f>
        <v>0</v>
      </c>
      <c r="D29" s="7"/>
      <c r="E29" s="623"/>
      <c r="F29" s="84">
        <f>SUM(F12:F28)</f>
        <v>16352591.09</v>
      </c>
      <c r="G29" s="84">
        <f>SUM(G12:G28)</f>
        <v>1362715.9241666666</v>
      </c>
      <c r="H29" s="84">
        <f ca="1">SUM(H12:H28)</f>
        <v>12331739.241666667</v>
      </c>
      <c r="I29" s="84">
        <f>SUM(I12:I28)</f>
        <v>10802859.350000001</v>
      </c>
      <c r="J29" s="84">
        <f t="shared" ca="1" si="0"/>
        <v>1528879.8916666657</v>
      </c>
      <c r="K29" s="390">
        <f ca="1">+J29/H29*100</f>
        <v>12.397925886243712</v>
      </c>
      <c r="L29" s="88">
        <f ca="1">+I29/H29*100</f>
        <v>87.602074113756288</v>
      </c>
      <c r="M29" s="5"/>
    </row>
    <row r="30" spans="1:13" ht="49.5" customHeight="1" x14ac:dyDescent="0.25">
      <c r="F30" s="3"/>
      <c r="G30" s="3"/>
      <c r="H30" s="2"/>
      <c r="I30" s="2"/>
      <c r="J30" s="2"/>
      <c r="K30" s="2"/>
      <c r="L30" s="2"/>
      <c r="M30" s="857"/>
    </row>
    <row r="31" spans="1:13" ht="24.75" customHeight="1" x14ac:dyDescent="0.25">
      <c r="H31" s="2"/>
      <c r="I31" s="2"/>
      <c r="J31" s="2"/>
      <c r="K31" s="2"/>
      <c r="L31" s="2"/>
      <c r="M31" s="857"/>
    </row>
    <row r="32" spans="1:13" ht="31.5" customHeight="1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  <row r="36" spans="9:9" x14ac:dyDescent="0.25">
      <c r="I36" s="2"/>
    </row>
    <row r="37" spans="9:9" x14ac:dyDescent="0.25">
      <c r="I37" s="2"/>
    </row>
    <row r="38" spans="9:9" x14ac:dyDescent="0.25">
      <c r="I38" s="2"/>
    </row>
    <row r="39" spans="9:9" x14ac:dyDescent="0.25">
      <c r="I39" s="2"/>
    </row>
    <row r="40" spans="9:9" x14ac:dyDescent="0.25">
      <c r="I40" s="2"/>
    </row>
    <row r="41" spans="9:9" x14ac:dyDescent="0.25">
      <c r="I41" s="2"/>
    </row>
    <row r="42" spans="9:9" x14ac:dyDescent="0.25">
      <c r="I42" s="2"/>
    </row>
    <row r="43" spans="9:9" x14ac:dyDescent="0.25">
      <c r="I43" s="2"/>
    </row>
    <row r="44" spans="9:9" x14ac:dyDescent="0.25">
      <c r="I44" s="2"/>
    </row>
    <row r="45" spans="9:9" x14ac:dyDescent="0.25">
      <c r="I45" s="2"/>
    </row>
    <row r="46" spans="9:9" x14ac:dyDescent="0.25">
      <c r="I46" s="2"/>
    </row>
    <row r="47" spans="9:9" x14ac:dyDescent="0.25">
      <c r="I47" s="2"/>
    </row>
    <row r="48" spans="9:9" x14ac:dyDescent="0.25">
      <c r="I48" s="2"/>
    </row>
  </sheetData>
  <autoFilter ref="M10:M29">
    <filterColumn colId="0">
      <filters>
        <filter val="Registra el pago al mes de julio."/>
      </filters>
    </filterColumn>
  </autoFilter>
  <mergeCells count="12">
    <mergeCell ref="M10:M11"/>
    <mergeCell ref="M30:M3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6" fitToHeight="2" orientation="landscape" r:id="rId1"/>
  <rowBreaks count="1" manualBreakCount="1">
    <brk id="22" min="3" max="1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W51"/>
  <sheetViews>
    <sheetView view="pageBreakPreview" zoomScale="85" zoomScaleNormal="100" zoomScaleSheetLayoutView="85" zoomScalePageLayoutView="80" workbookViewId="0">
      <pane xSplit="5" ySplit="12" topLeftCell="O41" activePane="bottomRight" state="frozen"/>
      <selection pane="topRight" activeCell="F1" sqref="F1"/>
      <selection pane="bottomLeft" activeCell="A12" sqref="A12"/>
      <selection pane="bottomRight" activeCell="U48" sqref="U48:U49"/>
    </sheetView>
  </sheetViews>
  <sheetFormatPr baseColWidth="10" defaultRowHeight="15" x14ac:dyDescent="0.25"/>
  <cols>
    <col min="1" max="1" width="9.42578125" style="306" customWidth="1"/>
    <col min="2" max="2" width="8.42578125" style="306" customWidth="1"/>
    <col min="3" max="3" width="0.28515625" customWidth="1"/>
    <col min="4" max="4" width="21.5703125" style="306" customWidth="1"/>
    <col min="5" max="5" width="27.28515625" style="586" customWidth="1"/>
    <col min="6" max="19" width="16.85546875" customWidth="1"/>
    <col min="20" max="20" width="20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x14ac:dyDescent="0.25">
      <c r="F1" s="587" t="s">
        <v>25</v>
      </c>
      <c r="U1" s="11"/>
    </row>
    <row r="2" spans="1:21" x14ac:dyDescent="0.25">
      <c r="F2" s="587" t="s">
        <v>24</v>
      </c>
      <c r="T2" s="9">
        <f>+T48</f>
        <v>10802859.349999998</v>
      </c>
    </row>
    <row r="3" spans="1:21" x14ac:dyDescent="0.25">
      <c r="F3" s="587" t="s">
        <v>23</v>
      </c>
    </row>
    <row r="4" spans="1:21" x14ac:dyDescent="0.25">
      <c r="F4" s="587" t="s">
        <v>22</v>
      </c>
    </row>
    <row r="5" spans="1:21" x14ac:dyDescent="0.25">
      <c r="F5" s="587" t="s">
        <v>21</v>
      </c>
    </row>
    <row r="6" spans="1:21" ht="20.25" x14ac:dyDescent="0.3">
      <c r="E6" s="588"/>
      <c r="F6" s="589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x14ac:dyDescent="0.25">
      <c r="D8" s="590" t="s">
        <v>31</v>
      </c>
      <c r="E8" s="587" t="s">
        <v>146</v>
      </c>
      <c r="T8" s="9"/>
    </row>
    <row r="9" spans="1:21" ht="15.75" thickBot="1" x14ac:dyDescent="0.3">
      <c r="D9" s="590"/>
      <c r="E9" s="587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46" t="s">
        <v>16</v>
      </c>
      <c r="E11" s="1002" t="s">
        <v>15</v>
      </c>
      <c r="F11" s="836" t="s">
        <v>26</v>
      </c>
      <c r="G11" s="837" t="s">
        <v>215</v>
      </c>
      <c r="H11" s="837" t="s">
        <v>39</v>
      </c>
      <c r="I11" s="837" t="s">
        <v>40</v>
      </c>
      <c r="J11" s="837" t="s">
        <v>41</v>
      </c>
      <c r="K11" s="837" t="s">
        <v>42</v>
      </c>
      <c r="L11" s="837" t="s">
        <v>43</v>
      </c>
      <c r="M11" s="837" t="s">
        <v>44</v>
      </c>
      <c r="N11" s="837" t="s">
        <v>45</v>
      </c>
      <c r="O11" s="837" t="s">
        <v>46</v>
      </c>
      <c r="P11" s="837" t="s">
        <v>47</v>
      </c>
      <c r="Q11" s="837" t="s">
        <v>48</v>
      </c>
      <c r="R11" s="837" t="s">
        <v>49</v>
      </c>
      <c r="S11" s="837" t="s">
        <v>50</v>
      </c>
      <c r="T11" s="948" t="s">
        <v>51</v>
      </c>
      <c r="U11" s="839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91"/>
      <c r="E12" s="1003"/>
      <c r="F12" s="893"/>
      <c r="G12" s="838"/>
      <c r="H12" s="838"/>
      <c r="I12" s="838"/>
      <c r="J12" s="838"/>
      <c r="K12" s="838"/>
      <c r="L12" s="838"/>
      <c r="M12" s="838"/>
      <c r="N12" s="838"/>
      <c r="O12" s="838"/>
      <c r="P12" s="838"/>
      <c r="Q12" s="838"/>
      <c r="R12" s="838"/>
      <c r="S12" s="838"/>
      <c r="T12" s="949"/>
      <c r="U12" s="841"/>
    </row>
    <row r="13" spans="1:21" ht="37.5" customHeight="1" thickTop="1" thickBot="1" x14ac:dyDescent="0.3">
      <c r="A13" s="747">
        <v>100902</v>
      </c>
      <c r="B13" s="381">
        <v>272402</v>
      </c>
      <c r="C13" s="382" t="s">
        <v>461</v>
      </c>
      <c r="D13" s="1008" t="s">
        <v>780</v>
      </c>
      <c r="E13" s="1010" t="s">
        <v>781</v>
      </c>
      <c r="F13" s="1012">
        <f>SUM(H13:S13)</f>
        <v>5142048</v>
      </c>
      <c r="G13" s="351" t="s">
        <v>52</v>
      </c>
      <c r="H13" s="617"/>
      <c r="I13" s="617">
        <f t="shared" ref="I13:S13" si="0">VLOOKUP($A13&amp;$B13&amp;I$10,Base,8,FALSE)</f>
        <v>428504</v>
      </c>
      <c r="J13" s="617">
        <f t="shared" si="0"/>
        <v>428504</v>
      </c>
      <c r="K13" s="617">
        <f t="shared" si="0"/>
        <v>428504</v>
      </c>
      <c r="L13" s="617">
        <f t="shared" si="0"/>
        <v>428504</v>
      </c>
      <c r="M13" s="617">
        <f t="shared" si="0"/>
        <v>428504</v>
      </c>
      <c r="N13" s="617">
        <f t="shared" si="0"/>
        <v>428504</v>
      </c>
      <c r="O13" s="617">
        <f t="shared" si="0"/>
        <v>428504</v>
      </c>
      <c r="P13" s="617">
        <f t="shared" si="0"/>
        <v>428504</v>
      </c>
      <c r="Q13" s="617">
        <f t="shared" si="0"/>
        <v>428504</v>
      </c>
      <c r="R13" s="617">
        <f t="shared" si="0"/>
        <v>428504</v>
      </c>
      <c r="S13" s="617">
        <f t="shared" si="0"/>
        <v>857008</v>
      </c>
      <c r="T13" s="65">
        <f ca="1">SUM($H13:(OFFSET($H13,0,AVANCE060826!$T$2)))</f>
        <v>3856536</v>
      </c>
      <c r="U13" s="1014"/>
    </row>
    <row r="14" spans="1:21" ht="37.5" customHeight="1" thickTop="1" thickBot="1" x14ac:dyDescent="0.3">
      <c r="A14" s="747">
        <v>100902</v>
      </c>
      <c r="B14" s="381">
        <v>272402</v>
      </c>
      <c r="C14" s="382"/>
      <c r="D14" s="1009"/>
      <c r="E14" s="1011"/>
      <c r="F14" s="1013"/>
      <c r="G14" s="351" t="s">
        <v>53</v>
      </c>
      <c r="H14" s="617"/>
      <c r="I14" s="617">
        <f t="shared" ref="I14:S14" si="1">VLOOKUP($A14&amp;$B14&amp;I$10,Base,9,FALSE)</f>
        <v>428504</v>
      </c>
      <c r="J14" s="617">
        <f t="shared" si="1"/>
        <v>428504</v>
      </c>
      <c r="K14" s="617">
        <f t="shared" si="1"/>
        <v>428504</v>
      </c>
      <c r="L14" s="617">
        <f t="shared" si="1"/>
        <v>428504</v>
      </c>
      <c r="M14" s="617">
        <f t="shared" si="1"/>
        <v>428504</v>
      </c>
      <c r="N14" s="617">
        <f t="shared" si="1"/>
        <v>428504</v>
      </c>
      <c r="O14" s="617">
        <f t="shared" si="1"/>
        <v>428504</v>
      </c>
      <c r="P14" s="617">
        <f t="shared" si="1"/>
        <v>428504</v>
      </c>
      <c r="Q14" s="617">
        <f t="shared" si="1"/>
        <v>0</v>
      </c>
      <c r="R14" s="617">
        <f t="shared" si="1"/>
        <v>0</v>
      </c>
      <c r="S14" s="617">
        <f t="shared" si="1"/>
        <v>0</v>
      </c>
      <c r="T14" s="65">
        <f t="shared" ref="T14:T46" si="2">SUM(H14:S14)</f>
        <v>3428032</v>
      </c>
      <c r="U14" s="1015"/>
    </row>
    <row r="15" spans="1:21" ht="37.5" customHeight="1" thickTop="1" thickBot="1" x14ac:dyDescent="0.3">
      <c r="A15" s="747">
        <v>100902</v>
      </c>
      <c r="B15" s="385">
        <v>272420</v>
      </c>
      <c r="C15" s="314" t="s">
        <v>464</v>
      </c>
      <c r="D15" s="1008" t="s">
        <v>782</v>
      </c>
      <c r="E15" s="1010" t="s">
        <v>436</v>
      </c>
      <c r="F15" s="1012">
        <f>SUM(H15:S15)</f>
        <v>61332</v>
      </c>
      <c r="G15" s="351" t="s">
        <v>52</v>
      </c>
      <c r="H15" s="617"/>
      <c r="I15" s="617">
        <f t="shared" ref="I15:S15" si="3">VLOOKUP($A15&amp;$B15&amp;I$10,Base,8,FALSE)</f>
        <v>0</v>
      </c>
      <c r="J15" s="617">
        <f t="shared" si="3"/>
        <v>10222</v>
      </c>
      <c r="K15" s="617">
        <f t="shared" si="3"/>
        <v>0</v>
      </c>
      <c r="L15" s="617">
        <f t="shared" si="3"/>
        <v>10222</v>
      </c>
      <c r="M15" s="617">
        <f t="shared" si="3"/>
        <v>0</v>
      </c>
      <c r="N15" s="617">
        <f t="shared" si="3"/>
        <v>10222</v>
      </c>
      <c r="O15" s="617">
        <f t="shared" si="3"/>
        <v>0</v>
      </c>
      <c r="P15" s="617">
        <f t="shared" si="3"/>
        <v>10222</v>
      </c>
      <c r="Q15" s="617">
        <f t="shared" si="3"/>
        <v>5111</v>
      </c>
      <c r="R15" s="617">
        <f t="shared" si="3"/>
        <v>5111</v>
      </c>
      <c r="S15" s="617">
        <f t="shared" si="3"/>
        <v>10222</v>
      </c>
      <c r="T15" s="65">
        <f ca="1">SUM($H15:(OFFSET($H15,0,AVANCE060826!$T$2)))</f>
        <v>45999</v>
      </c>
      <c r="U15" s="1014"/>
    </row>
    <row r="16" spans="1:21" ht="37.5" customHeight="1" thickTop="1" thickBot="1" x14ac:dyDescent="0.3">
      <c r="A16" s="747">
        <v>100902</v>
      </c>
      <c r="B16" s="385">
        <v>272420</v>
      </c>
      <c r="C16" s="314"/>
      <c r="D16" s="1009"/>
      <c r="E16" s="1011"/>
      <c r="F16" s="1013"/>
      <c r="G16" s="351" t="s">
        <v>53</v>
      </c>
      <c r="H16" s="617"/>
      <c r="I16" s="617">
        <f t="shared" ref="I16:S16" si="4">VLOOKUP($A16&amp;$B16&amp;I$10,Base,9,FALSE)</f>
        <v>0</v>
      </c>
      <c r="J16" s="617">
        <f t="shared" si="4"/>
        <v>10222</v>
      </c>
      <c r="K16" s="617">
        <f t="shared" si="4"/>
        <v>0</v>
      </c>
      <c r="L16" s="617">
        <f t="shared" si="4"/>
        <v>10222</v>
      </c>
      <c r="M16" s="617">
        <f t="shared" si="4"/>
        <v>0</v>
      </c>
      <c r="N16" s="617">
        <f t="shared" si="4"/>
        <v>10222</v>
      </c>
      <c r="O16" s="617">
        <f t="shared" si="4"/>
        <v>0</v>
      </c>
      <c r="P16" s="617">
        <f t="shared" si="4"/>
        <v>10222</v>
      </c>
      <c r="Q16" s="617">
        <f t="shared" si="4"/>
        <v>0</v>
      </c>
      <c r="R16" s="617">
        <f t="shared" si="4"/>
        <v>0</v>
      </c>
      <c r="S16" s="617">
        <f t="shared" si="4"/>
        <v>0</v>
      </c>
      <c r="T16" s="65">
        <f t="shared" si="2"/>
        <v>40888</v>
      </c>
      <c r="U16" s="1015"/>
    </row>
    <row r="17" spans="1:23" ht="37.5" customHeight="1" thickTop="1" thickBot="1" x14ac:dyDescent="0.3">
      <c r="A17" s="747">
        <v>100902</v>
      </c>
      <c r="B17" s="385">
        <v>272440</v>
      </c>
      <c r="C17" s="314" t="s">
        <v>467</v>
      </c>
      <c r="D17" s="1008" t="s">
        <v>783</v>
      </c>
      <c r="E17" s="1010" t="s">
        <v>784</v>
      </c>
      <c r="F17" s="1012">
        <f>SUM(H17:S17)</f>
        <v>44544</v>
      </c>
      <c r="G17" s="351" t="s">
        <v>52</v>
      </c>
      <c r="H17" s="617"/>
      <c r="I17" s="617">
        <f t="shared" ref="I17:S17" si="5">VLOOKUP($A17&amp;$B17&amp;I$10,Base,8,FALSE)</f>
        <v>0</v>
      </c>
      <c r="J17" s="617">
        <f t="shared" si="5"/>
        <v>0</v>
      </c>
      <c r="K17" s="617">
        <f t="shared" si="5"/>
        <v>0</v>
      </c>
      <c r="L17" s="617">
        <f t="shared" si="5"/>
        <v>0</v>
      </c>
      <c r="M17" s="617">
        <f t="shared" si="5"/>
        <v>0</v>
      </c>
      <c r="N17" s="617">
        <f t="shared" si="5"/>
        <v>22272</v>
      </c>
      <c r="O17" s="617">
        <f t="shared" si="5"/>
        <v>3712</v>
      </c>
      <c r="P17" s="617">
        <f t="shared" si="5"/>
        <v>0</v>
      </c>
      <c r="Q17" s="617">
        <f t="shared" si="5"/>
        <v>7424</v>
      </c>
      <c r="R17" s="617">
        <f t="shared" si="5"/>
        <v>3712</v>
      </c>
      <c r="S17" s="617">
        <f t="shared" si="5"/>
        <v>7424</v>
      </c>
      <c r="T17" s="65">
        <f ca="1">SUM($H17:(OFFSET($H17,0,AVANCE060826!$T$2)))</f>
        <v>33408</v>
      </c>
      <c r="U17" s="1014"/>
    </row>
    <row r="18" spans="1:23" ht="37.5" customHeight="1" thickTop="1" thickBot="1" x14ac:dyDescent="0.3">
      <c r="A18" s="747">
        <v>100902</v>
      </c>
      <c r="B18" s="385">
        <v>272440</v>
      </c>
      <c r="C18" s="314"/>
      <c r="D18" s="1009"/>
      <c r="E18" s="1011"/>
      <c r="F18" s="1013"/>
      <c r="G18" s="351" t="s">
        <v>53</v>
      </c>
      <c r="H18" s="617"/>
      <c r="I18" s="617">
        <f t="shared" ref="I18:S18" si="6">VLOOKUP($A18&amp;$B18&amp;I$10,Base,9,FALSE)</f>
        <v>0</v>
      </c>
      <c r="J18" s="617">
        <f t="shared" si="6"/>
        <v>0</v>
      </c>
      <c r="K18" s="617">
        <f t="shared" si="6"/>
        <v>0</v>
      </c>
      <c r="L18" s="617">
        <f t="shared" si="6"/>
        <v>0</v>
      </c>
      <c r="M18" s="617">
        <f t="shared" si="6"/>
        <v>0</v>
      </c>
      <c r="N18" s="617">
        <f t="shared" si="6"/>
        <v>22272</v>
      </c>
      <c r="O18" s="617">
        <f t="shared" si="6"/>
        <v>3712</v>
      </c>
      <c r="P18" s="617">
        <f t="shared" si="6"/>
        <v>0</v>
      </c>
      <c r="Q18" s="617">
        <f t="shared" si="6"/>
        <v>0</v>
      </c>
      <c r="R18" s="617">
        <f t="shared" si="6"/>
        <v>0</v>
      </c>
      <c r="S18" s="617">
        <f t="shared" si="6"/>
        <v>0</v>
      </c>
      <c r="T18" s="65">
        <f t="shared" si="2"/>
        <v>25984</v>
      </c>
      <c r="U18" s="1015"/>
    </row>
    <row r="19" spans="1:23" ht="37.5" customHeight="1" thickTop="1" thickBot="1" x14ac:dyDescent="0.3">
      <c r="A19" s="747">
        <v>100902</v>
      </c>
      <c r="B19" s="385">
        <v>272460</v>
      </c>
      <c r="C19" s="314" t="s">
        <v>470</v>
      </c>
      <c r="D19" s="1008" t="s">
        <v>785</v>
      </c>
      <c r="E19" s="1010" t="s">
        <v>786</v>
      </c>
      <c r="F19" s="1012">
        <f>SUM(H19:S19)</f>
        <v>436100</v>
      </c>
      <c r="G19" s="351" t="s">
        <v>52</v>
      </c>
      <c r="H19" s="617"/>
      <c r="I19" s="617">
        <f t="shared" ref="I19:S19" si="7">VLOOKUP($A19&amp;$B19&amp;I$10,Base,8,FALSE)</f>
        <v>36340.370000000003</v>
      </c>
      <c r="J19" s="617">
        <f t="shared" si="7"/>
        <v>36340.370000000003</v>
      </c>
      <c r="K19" s="617">
        <f t="shared" si="7"/>
        <v>36340.370000000003</v>
      </c>
      <c r="L19" s="617">
        <f t="shared" si="7"/>
        <v>36340.370000000003</v>
      </c>
      <c r="M19" s="617">
        <f t="shared" si="7"/>
        <v>0</v>
      </c>
      <c r="N19" s="617">
        <f t="shared" si="7"/>
        <v>72680.740000000005</v>
      </c>
      <c r="O19" s="617">
        <f t="shared" si="7"/>
        <v>36340.370000000003</v>
      </c>
      <c r="P19" s="617">
        <f t="shared" si="7"/>
        <v>36340.370000000003</v>
      </c>
      <c r="Q19" s="617">
        <f t="shared" si="7"/>
        <v>36355.040000000001</v>
      </c>
      <c r="R19" s="617">
        <f t="shared" si="7"/>
        <v>36342</v>
      </c>
      <c r="S19" s="617">
        <f t="shared" si="7"/>
        <v>72680</v>
      </c>
      <c r="T19" s="65">
        <f ca="1">SUM($H19:(OFFSET($H19,0,AVANCE060826!$T$2)))</f>
        <v>327078</v>
      </c>
      <c r="U19" s="1014"/>
    </row>
    <row r="20" spans="1:23" ht="37.5" customHeight="1" thickTop="1" x14ac:dyDescent="0.25">
      <c r="A20" s="747">
        <v>100902</v>
      </c>
      <c r="B20" s="385">
        <v>272460</v>
      </c>
      <c r="C20" s="314"/>
      <c r="D20" s="1009"/>
      <c r="E20" s="1011"/>
      <c r="F20" s="1013"/>
      <c r="G20" s="351" t="s">
        <v>53</v>
      </c>
      <c r="H20" s="617"/>
      <c r="I20" s="617">
        <f t="shared" ref="I20:S20" si="8">VLOOKUP($A20&amp;$B20&amp;I$10,Base,9,FALSE)</f>
        <v>36340.370000000003</v>
      </c>
      <c r="J20" s="617">
        <f t="shared" si="8"/>
        <v>36340.370000000003</v>
      </c>
      <c r="K20" s="617">
        <f t="shared" si="8"/>
        <v>36340.370000000003</v>
      </c>
      <c r="L20" s="617">
        <f t="shared" si="8"/>
        <v>36340.370000000003</v>
      </c>
      <c r="M20" s="617">
        <f t="shared" si="8"/>
        <v>0</v>
      </c>
      <c r="N20" s="617">
        <f t="shared" si="8"/>
        <v>72680.740000000005</v>
      </c>
      <c r="O20" s="617">
        <f t="shared" si="8"/>
        <v>36340.370000000003</v>
      </c>
      <c r="P20" s="617">
        <f t="shared" si="8"/>
        <v>36340.370000000003</v>
      </c>
      <c r="Q20" s="617">
        <f t="shared" si="8"/>
        <v>0</v>
      </c>
      <c r="R20" s="617">
        <f t="shared" si="8"/>
        <v>0</v>
      </c>
      <c r="S20" s="617">
        <f t="shared" si="8"/>
        <v>0</v>
      </c>
      <c r="T20" s="65">
        <f t="shared" si="2"/>
        <v>290722.96000000002</v>
      </c>
      <c r="U20" s="1015"/>
    </row>
    <row r="21" spans="1:23" ht="37.5" customHeight="1" x14ac:dyDescent="0.25">
      <c r="A21" s="311">
        <v>320200</v>
      </c>
      <c r="B21" s="385">
        <v>276308</v>
      </c>
      <c r="C21" s="314" t="s">
        <v>475</v>
      </c>
      <c r="D21" s="1008" t="s">
        <v>787</v>
      </c>
      <c r="E21" s="1010" t="s">
        <v>439</v>
      </c>
      <c r="F21" s="1012">
        <f>SUM(H21:S21)</f>
        <v>319604</v>
      </c>
      <c r="G21" s="351" t="s">
        <v>52</v>
      </c>
      <c r="H21" s="617"/>
      <c r="I21" s="617">
        <f t="shared" ref="I21:S21" si="9">VLOOKUP($A21&amp;$B21&amp;I$10,Base,8,FALSE)</f>
        <v>26633.59</v>
      </c>
      <c r="J21" s="617">
        <f t="shared" si="9"/>
        <v>26633.59</v>
      </c>
      <c r="K21" s="617">
        <f t="shared" si="9"/>
        <v>26633.59</v>
      </c>
      <c r="L21" s="617">
        <f t="shared" si="9"/>
        <v>26633.59</v>
      </c>
      <c r="M21" s="617">
        <f t="shared" si="9"/>
        <v>26633.59</v>
      </c>
      <c r="N21" s="617">
        <f t="shared" si="9"/>
        <v>26633.59</v>
      </c>
      <c r="O21" s="617">
        <f t="shared" si="9"/>
        <v>26633.59</v>
      </c>
      <c r="P21" s="617">
        <f t="shared" si="9"/>
        <v>26633.59</v>
      </c>
      <c r="Q21" s="617">
        <f t="shared" si="9"/>
        <v>26637.279999999999</v>
      </c>
      <c r="R21" s="617">
        <f t="shared" si="9"/>
        <v>26634</v>
      </c>
      <c r="S21" s="617">
        <f t="shared" si="9"/>
        <v>53264</v>
      </c>
      <c r="T21" s="65">
        <f ca="1">SUM($H21:(OFFSET($H21,0,AVANCE060826!$T$2)))</f>
        <v>239706</v>
      </c>
      <c r="U21" s="1014"/>
    </row>
    <row r="22" spans="1:23" ht="37.5" customHeight="1" x14ac:dyDescent="0.25">
      <c r="A22" s="311">
        <v>320200</v>
      </c>
      <c r="B22" s="385">
        <v>276308</v>
      </c>
      <c r="C22" s="314"/>
      <c r="D22" s="1009"/>
      <c r="E22" s="1011"/>
      <c r="F22" s="1013"/>
      <c r="G22" s="351" t="s">
        <v>53</v>
      </c>
      <c r="H22" s="617"/>
      <c r="I22" s="617">
        <f t="shared" ref="I22:S22" si="10">VLOOKUP($A22&amp;$B22&amp;I$10,Base,9,FALSE)</f>
        <v>26633.59</v>
      </c>
      <c r="J22" s="617">
        <f t="shared" si="10"/>
        <v>26633.59</v>
      </c>
      <c r="K22" s="617">
        <f t="shared" si="10"/>
        <v>26633.59</v>
      </c>
      <c r="L22" s="617">
        <f t="shared" si="10"/>
        <v>26633.59</v>
      </c>
      <c r="M22" s="617">
        <f t="shared" si="10"/>
        <v>26633.59</v>
      </c>
      <c r="N22" s="617">
        <f t="shared" si="10"/>
        <v>26633.59</v>
      </c>
      <c r="O22" s="617">
        <f t="shared" si="10"/>
        <v>26633.59</v>
      </c>
      <c r="P22" s="617">
        <f t="shared" si="10"/>
        <v>26633.59</v>
      </c>
      <c r="Q22" s="617">
        <f t="shared" si="10"/>
        <v>0</v>
      </c>
      <c r="R22" s="617">
        <f t="shared" si="10"/>
        <v>0</v>
      </c>
      <c r="S22" s="617">
        <f t="shared" si="10"/>
        <v>0</v>
      </c>
      <c r="T22" s="65">
        <f t="shared" si="2"/>
        <v>213068.72</v>
      </c>
      <c r="U22" s="1015"/>
    </row>
    <row r="23" spans="1:23" ht="37.5" customHeight="1" x14ac:dyDescent="0.25">
      <c r="A23" s="346" t="s">
        <v>789</v>
      </c>
      <c r="B23" s="618" t="s">
        <v>788</v>
      </c>
      <c r="C23" s="619" t="s">
        <v>478</v>
      </c>
      <c r="D23" s="1016" t="s">
        <v>790</v>
      </c>
      <c r="E23" s="1018" t="s">
        <v>791</v>
      </c>
      <c r="F23" s="1012">
        <f>SUM(H23:S23)</f>
        <v>568814.4</v>
      </c>
      <c r="G23" s="351" t="s">
        <v>52</v>
      </c>
      <c r="H23" s="770">
        <v>47401.200000000004</v>
      </c>
      <c r="I23" s="770">
        <v>47401.200000000004</v>
      </c>
      <c r="J23" s="770">
        <v>47401.200000000004</v>
      </c>
      <c r="K23" s="770">
        <v>47401.200000000004</v>
      </c>
      <c r="L23" s="770">
        <v>47401.200000000004</v>
      </c>
      <c r="M23" s="770">
        <v>47401.200000000004</v>
      </c>
      <c r="N23" s="770">
        <v>47401.200000000004</v>
      </c>
      <c r="O23" s="770">
        <v>47401.200000000004</v>
      </c>
      <c r="P23" s="770">
        <v>47401.200000000004</v>
      </c>
      <c r="Q23" s="770">
        <v>47401.200000000004</v>
      </c>
      <c r="R23" s="770">
        <v>47401.200000000004</v>
      </c>
      <c r="S23" s="770">
        <v>47401.200000000004</v>
      </c>
      <c r="T23" s="65">
        <f ca="1">SUM($H23:(OFFSET($H23,0,AVANCE060826!$T$2)))</f>
        <v>474012.00000000006</v>
      </c>
      <c r="U23" s="1014"/>
      <c r="W23" s="192"/>
    </row>
    <row r="24" spans="1:23" ht="37.5" customHeight="1" x14ac:dyDescent="0.25">
      <c r="A24" s="346" t="s">
        <v>789</v>
      </c>
      <c r="B24" s="618" t="s">
        <v>788</v>
      </c>
      <c r="C24" s="619"/>
      <c r="D24" s="1017"/>
      <c r="E24" s="1019"/>
      <c r="F24" s="1013"/>
      <c r="G24" s="351" t="s">
        <v>53</v>
      </c>
      <c r="H24" s="770"/>
      <c r="I24" s="770"/>
      <c r="J24" s="770">
        <v>94800.4</v>
      </c>
      <c r="K24" s="770"/>
      <c r="L24" s="770">
        <v>94800.4</v>
      </c>
      <c r="M24" s="770"/>
      <c r="N24" s="770">
        <v>94800.4</v>
      </c>
      <c r="O24" s="770"/>
      <c r="P24" s="822">
        <v>94800.4</v>
      </c>
      <c r="Q24" s="770"/>
      <c r="R24" s="770"/>
      <c r="S24" s="770"/>
      <c r="T24" s="65">
        <f t="shared" si="2"/>
        <v>379201.6</v>
      </c>
      <c r="U24" s="1015"/>
      <c r="W24" s="192"/>
    </row>
    <row r="25" spans="1:23" ht="37.5" customHeight="1" x14ac:dyDescent="0.25">
      <c r="A25" s="311">
        <v>900110</v>
      </c>
      <c r="B25" s="385">
        <v>279108</v>
      </c>
      <c r="C25" s="314" t="s">
        <v>470</v>
      </c>
      <c r="D25" s="1008" t="s">
        <v>792</v>
      </c>
      <c r="E25" s="1010" t="s">
        <v>793</v>
      </c>
      <c r="F25" s="1012">
        <f>SUM(H25:S25)</f>
        <v>2574949</v>
      </c>
      <c r="G25" s="351" t="s">
        <v>52</v>
      </c>
      <c r="H25" s="617"/>
      <c r="I25" s="617">
        <f t="shared" ref="I25:S25" si="11">VLOOKUP($A25&amp;$B25&amp;I$10,Base,8,FALSE)</f>
        <v>0</v>
      </c>
      <c r="J25" s="617">
        <f t="shared" si="11"/>
        <v>214578</v>
      </c>
      <c r="K25" s="617">
        <f t="shared" si="11"/>
        <v>214578.19</v>
      </c>
      <c r="L25" s="617">
        <f t="shared" si="11"/>
        <v>429155.81</v>
      </c>
      <c r="M25" s="617">
        <f t="shared" si="11"/>
        <v>0</v>
      </c>
      <c r="N25" s="617">
        <f t="shared" si="11"/>
        <v>429156</v>
      </c>
      <c r="O25" s="617">
        <f t="shared" si="11"/>
        <v>214578</v>
      </c>
      <c r="P25" s="617">
        <f t="shared" si="11"/>
        <v>214578</v>
      </c>
      <c r="Q25" s="617">
        <f t="shared" si="11"/>
        <v>214587</v>
      </c>
      <c r="R25" s="617">
        <f t="shared" si="11"/>
        <v>214579</v>
      </c>
      <c r="S25" s="617">
        <f t="shared" si="11"/>
        <v>429159</v>
      </c>
      <c r="T25" s="65">
        <f ca="1">SUM($H25:(OFFSET($H25,0,AVANCE060826!$T$2)))</f>
        <v>1931211</v>
      </c>
      <c r="U25" s="1014"/>
    </row>
    <row r="26" spans="1:23" ht="37.5" customHeight="1" x14ac:dyDescent="0.25">
      <c r="A26" s="311">
        <v>900110</v>
      </c>
      <c r="B26" s="385">
        <v>279108</v>
      </c>
      <c r="C26" s="314"/>
      <c r="D26" s="1009"/>
      <c r="E26" s="1011"/>
      <c r="F26" s="1013"/>
      <c r="G26" s="351" t="s">
        <v>53</v>
      </c>
      <c r="H26" s="617"/>
      <c r="I26" s="617">
        <f t="shared" ref="I26:S26" si="12">VLOOKUP($A26&amp;$B26&amp;I$10,Base,9,FALSE)</f>
        <v>0</v>
      </c>
      <c r="J26" s="617">
        <f t="shared" si="12"/>
        <v>214578</v>
      </c>
      <c r="K26" s="617">
        <f t="shared" si="12"/>
        <v>214578.19</v>
      </c>
      <c r="L26" s="617">
        <f t="shared" si="12"/>
        <v>429155.81</v>
      </c>
      <c r="M26" s="617">
        <f t="shared" si="12"/>
        <v>0</v>
      </c>
      <c r="N26" s="617">
        <f t="shared" si="12"/>
        <v>429156</v>
      </c>
      <c r="O26" s="617">
        <f t="shared" si="12"/>
        <v>214578</v>
      </c>
      <c r="P26" s="617">
        <f t="shared" si="12"/>
        <v>214578</v>
      </c>
      <c r="Q26" s="617">
        <f t="shared" si="12"/>
        <v>0</v>
      </c>
      <c r="R26" s="617">
        <f t="shared" si="12"/>
        <v>0</v>
      </c>
      <c r="S26" s="617">
        <f t="shared" si="12"/>
        <v>0</v>
      </c>
      <c r="T26" s="65">
        <f t="shared" si="2"/>
        <v>1716624</v>
      </c>
      <c r="U26" s="1015"/>
    </row>
    <row r="27" spans="1:23" ht="37.5" customHeight="1" x14ac:dyDescent="0.25">
      <c r="A27" s="346">
        <v>900110</v>
      </c>
      <c r="B27" s="618">
        <v>279104</v>
      </c>
      <c r="C27" s="619" t="s">
        <v>478</v>
      </c>
      <c r="D27" s="1016" t="s">
        <v>794</v>
      </c>
      <c r="E27" s="1018" t="s">
        <v>190</v>
      </c>
      <c r="F27" s="1012">
        <f>SUM(H27:S27)</f>
        <v>517104</v>
      </c>
      <c r="G27" s="351" t="s">
        <v>52</v>
      </c>
      <c r="H27" s="617"/>
      <c r="I27" s="617">
        <f t="shared" ref="I27:S27" si="13">VLOOKUP($A27&amp;$B27&amp;I$10,Base,8,FALSE)</f>
        <v>0</v>
      </c>
      <c r="J27" s="617">
        <f t="shared" si="13"/>
        <v>86184</v>
      </c>
      <c r="K27" s="617">
        <f t="shared" si="13"/>
        <v>0</v>
      </c>
      <c r="L27" s="617">
        <f t="shared" si="13"/>
        <v>86184</v>
      </c>
      <c r="M27" s="617">
        <f t="shared" si="13"/>
        <v>0</v>
      </c>
      <c r="N27" s="617">
        <f t="shared" si="13"/>
        <v>86184</v>
      </c>
      <c r="O27" s="617">
        <f t="shared" si="13"/>
        <v>0</v>
      </c>
      <c r="P27" s="617">
        <f t="shared" si="13"/>
        <v>86184</v>
      </c>
      <c r="Q27" s="617">
        <f t="shared" si="13"/>
        <v>43092</v>
      </c>
      <c r="R27" s="617">
        <f t="shared" si="13"/>
        <v>43092</v>
      </c>
      <c r="S27" s="617">
        <f t="shared" si="13"/>
        <v>86184</v>
      </c>
      <c r="T27" s="65">
        <f ca="1">SUM($H27:(OFFSET($H27,0,AVANCE060826!$T$2)))</f>
        <v>387828</v>
      </c>
      <c r="U27" s="1014"/>
    </row>
    <row r="28" spans="1:23" ht="37.5" customHeight="1" x14ac:dyDescent="0.25">
      <c r="A28" s="346">
        <v>900110</v>
      </c>
      <c r="B28" s="618">
        <v>279104</v>
      </c>
      <c r="C28" s="619"/>
      <c r="D28" s="1017"/>
      <c r="E28" s="1019"/>
      <c r="F28" s="1013"/>
      <c r="G28" s="351" t="s">
        <v>53</v>
      </c>
      <c r="H28" s="617"/>
      <c r="I28" s="617">
        <f t="shared" ref="I28:S28" si="14">VLOOKUP($A28&amp;$B28&amp;I$10,Base,9,FALSE)</f>
        <v>0</v>
      </c>
      <c r="J28" s="617">
        <f t="shared" si="14"/>
        <v>86184</v>
      </c>
      <c r="K28" s="617">
        <f t="shared" si="14"/>
        <v>0</v>
      </c>
      <c r="L28" s="617">
        <f t="shared" si="14"/>
        <v>86184</v>
      </c>
      <c r="M28" s="617">
        <f t="shared" si="14"/>
        <v>0</v>
      </c>
      <c r="N28" s="617">
        <f t="shared" si="14"/>
        <v>86184</v>
      </c>
      <c r="O28" s="617">
        <f t="shared" si="14"/>
        <v>0</v>
      </c>
      <c r="P28" s="617">
        <f t="shared" si="14"/>
        <v>86184</v>
      </c>
      <c r="Q28">
        <f t="shared" si="14"/>
        <v>0</v>
      </c>
      <c r="R28" s="617">
        <f t="shared" si="14"/>
        <v>0</v>
      </c>
      <c r="S28" s="617">
        <f t="shared" si="14"/>
        <v>0</v>
      </c>
      <c r="T28" s="65">
        <f t="shared" si="2"/>
        <v>344736</v>
      </c>
      <c r="U28" s="1015"/>
    </row>
    <row r="29" spans="1:23" ht="37.5" customHeight="1" x14ac:dyDescent="0.25">
      <c r="A29" s="346">
        <v>900110</v>
      </c>
      <c r="B29" s="618">
        <v>279102</v>
      </c>
      <c r="C29" s="619" t="s">
        <v>485</v>
      </c>
      <c r="D29" s="1016" t="s">
        <v>795</v>
      </c>
      <c r="E29" s="1018" t="s">
        <v>190</v>
      </c>
      <c r="F29" s="1012">
        <f>SUM(H29:S29)</f>
        <v>375677</v>
      </c>
      <c r="G29" s="351" t="s">
        <v>52</v>
      </c>
      <c r="H29" s="617"/>
      <c r="I29" s="617">
        <f t="shared" ref="I29:S29" si="15">VLOOKUP($A29&amp;$B29&amp;I$10,Base,8,FALSE)</f>
        <v>0</v>
      </c>
      <c r="J29" s="617">
        <f t="shared" si="15"/>
        <v>62611.98</v>
      </c>
      <c r="K29" s="617">
        <f t="shared" si="15"/>
        <v>31305.99</v>
      </c>
      <c r="L29" s="617">
        <f t="shared" si="15"/>
        <v>31305.99</v>
      </c>
      <c r="M29" s="617">
        <f t="shared" si="15"/>
        <v>31305.99</v>
      </c>
      <c r="N29" s="617">
        <f t="shared" si="15"/>
        <v>31305.99</v>
      </c>
      <c r="O29" s="617">
        <f t="shared" si="15"/>
        <v>0</v>
      </c>
      <c r="P29" s="617">
        <f t="shared" si="15"/>
        <v>0</v>
      </c>
      <c r="Q29" s="617">
        <f t="shared" si="15"/>
        <v>93927.06</v>
      </c>
      <c r="R29" s="617">
        <f t="shared" si="15"/>
        <v>31307</v>
      </c>
      <c r="S29" s="617">
        <f t="shared" si="15"/>
        <v>62607</v>
      </c>
      <c r="T29" s="65">
        <f ca="1">SUM($H29:(OFFSET($H29,0,AVANCE060826!$T$2)))</f>
        <v>281763</v>
      </c>
      <c r="U29" s="1014"/>
    </row>
    <row r="30" spans="1:23" ht="37.5" customHeight="1" x14ac:dyDescent="0.25">
      <c r="A30" s="346">
        <v>900110</v>
      </c>
      <c r="B30" s="618">
        <v>279102</v>
      </c>
      <c r="C30" s="619"/>
      <c r="D30" s="1017"/>
      <c r="E30" s="1019"/>
      <c r="F30" s="1013"/>
      <c r="G30" s="351" t="s">
        <v>53</v>
      </c>
      <c r="H30" s="617"/>
      <c r="I30" s="617">
        <f t="shared" ref="I30:S30" si="16">VLOOKUP($A30&amp;$B30&amp;I$10,Base,9,FALSE)</f>
        <v>0</v>
      </c>
      <c r="J30" s="617">
        <f t="shared" si="16"/>
        <v>62611.98</v>
      </c>
      <c r="K30" s="617">
        <f t="shared" si="16"/>
        <v>31305.99</v>
      </c>
      <c r="L30" s="617">
        <f t="shared" si="16"/>
        <v>31305.99</v>
      </c>
      <c r="M30" s="617">
        <f t="shared" si="16"/>
        <v>31305.99</v>
      </c>
      <c r="N30" s="617">
        <f t="shared" si="16"/>
        <v>31305.99</v>
      </c>
      <c r="O30" s="617">
        <f t="shared" si="16"/>
        <v>0</v>
      </c>
      <c r="P30" s="617">
        <f t="shared" si="16"/>
        <v>0</v>
      </c>
      <c r="Q30" s="617">
        <f t="shared" si="16"/>
        <v>0</v>
      </c>
      <c r="R30" s="617">
        <f t="shared" si="16"/>
        <v>0</v>
      </c>
      <c r="S30" s="617">
        <f t="shared" si="16"/>
        <v>0</v>
      </c>
      <c r="T30" s="65">
        <f t="shared" si="2"/>
        <v>187835.94</v>
      </c>
      <c r="U30" s="1015"/>
    </row>
    <row r="31" spans="1:23" ht="37.5" customHeight="1" x14ac:dyDescent="0.25">
      <c r="A31" s="311">
        <v>900110</v>
      </c>
      <c r="B31" s="385">
        <v>279103</v>
      </c>
      <c r="C31" s="314" t="s">
        <v>488</v>
      </c>
      <c r="D31" s="1008" t="s">
        <v>796</v>
      </c>
      <c r="E31" s="1010" t="s">
        <v>190</v>
      </c>
      <c r="F31" s="1012">
        <f>SUM(H31:S31)</f>
        <v>1393392</v>
      </c>
      <c r="G31" s="351" t="s">
        <v>52</v>
      </c>
      <c r="H31" s="617"/>
      <c r="I31" s="617">
        <f t="shared" ref="I31:S31" si="17">VLOOKUP($A31&amp;$B31&amp;I$10,Base,8,FALSE)</f>
        <v>116116</v>
      </c>
      <c r="J31" s="617">
        <f t="shared" si="17"/>
        <v>116116</v>
      </c>
      <c r="K31" s="617">
        <f t="shared" si="17"/>
        <v>116116</v>
      </c>
      <c r="L31" s="617">
        <f t="shared" si="17"/>
        <v>116116</v>
      </c>
      <c r="M31" s="617">
        <f t="shared" si="17"/>
        <v>116116</v>
      </c>
      <c r="N31" s="617">
        <f t="shared" si="17"/>
        <v>116116</v>
      </c>
      <c r="O31" s="617">
        <f t="shared" si="17"/>
        <v>0</v>
      </c>
      <c r="P31" s="617">
        <f t="shared" si="17"/>
        <v>232232</v>
      </c>
      <c r="Q31" s="617">
        <f t="shared" si="17"/>
        <v>116116</v>
      </c>
      <c r="R31" s="617">
        <f t="shared" si="17"/>
        <v>116116</v>
      </c>
      <c r="S31" s="617">
        <f t="shared" si="17"/>
        <v>232232</v>
      </c>
      <c r="T31" s="65">
        <f ca="1">SUM($H31:(OFFSET($H31,0,AVANCE060826!$T$2)))</f>
        <v>1045044</v>
      </c>
      <c r="U31" s="620"/>
    </row>
    <row r="32" spans="1:23" ht="37.5" customHeight="1" x14ac:dyDescent="0.25">
      <c r="A32" s="311">
        <v>900110</v>
      </c>
      <c r="B32" s="385">
        <v>279103</v>
      </c>
      <c r="C32" s="314"/>
      <c r="D32" s="1009"/>
      <c r="E32" s="1011"/>
      <c r="F32" s="1013"/>
      <c r="G32" s="351" t="s">
        <v>53</v>
      </c>
      <c r="H32" s="617"/>
      <c r="I32" s="617">
        <f t="shared" ref="I32:S32" si="18">VLOOKUP($A32&amp;$B32&amp;I$10,Base,9,FALSE)</f>
        <v>116116</v>
      </c>
      <c r="J32" s="617">
        <f t="shared" si="18"/>
        <v>116116</v>
      </c>
      <c r="K32" s="617">
        <f t="shared" si="18"/>
        <v>116116</v>
      </c>
      <c r="L32" s="617">
        <f t="shared" si="18"/>
        <v>116116</v>
      </c>
      <c r="M32" s="617">
        <f t="shared" si="18"/>
        <v>116116</v>
      </c>
      <c r="N32" s="617">
        <f t="shared" si="18"/>
        <v>116116</v>
      </c>
      <c r="O32" s="617">
        <f t="shared" si="18"/>
        <v>0</v>
      </c>
      <c r="P32" s="617">
        <f t="shared" si="18"/>
        <v>232232</v>
      </c>
      <c r="Q32" s="617">
        <f t="shared" si="18"/>
        <v>0</v>
      </c>
      <c r="R32" s="617">
        <f t="shared" si="18"/>
        <v>0</v>
      </c>
      <c r="S32" s="617">
        <f t="shared" si="18"/>
        <v>0</v>
      </c>
      <c r="T32" s="65">
        <f t="shared" si="2"/>
        <v>928928</v>
      </c>
      <c r="U32" s="620"/>
    </row>
    <row r="33" spans="1:21" ht="37.5" customHeight="1" x14ac:dyDescent="0.25">
      <c r="A33" s="311" t="s">
        <v>798</v>
      </c>
      <c r="B33" s="385" t="s">
        <v>797</v>
      </c>
      <c r="C33" s="314" t="s">
        <v>475</v>
      </c>
      <c r="D33" s="1008" t="s">
        <v>799</v>
      </c>
      <c r="E33" s="1010" t="s">
        <v>793</v>
      </c>
      <c r="F33" s="1012">
        <f>SUM(H33:S33)</f>
        <v>238304.69000000006</v>
      </c>
      <c r="G33" s="351" t="s">
        <v>52</v>
      </c>
      <c r="H33" s="770">
        <v>19858.724166666667</v>
      </c>
      <c r="I33" s="770">
        <v>19858.724166666667</v>
      </c>
      <c r="J33" s="770">
        <v>19858.724166666667</v>
      </c>
      <c r="K33" s="770">
        <v>19858.724166666667</v>
      </c>
      <c r="L33" s="770">
        <v>19858.724166666667</v>
      </c>
      <c r="M33" s="770">
        <v>19858.724166666667</v>
      </c>
      <c r="N33" s="770">
        <v>19858.724166666667</v>
      </c>
      <c r="O33" s="770">
        <v>19858.724166666667</v>
      </c>
      <c r="P33" s="770">
        <v>19858.724166666667</v>
      </c>
      <c r="Q33" s="770">
        <v>19858.724166666667</v>
      </c>
      <c r="R33" s="770">
        <v>19858.724166666667</v>
      </c>
      <c r="S33" s="770">
        <v>19858.724166666667</v>
      </c>
      <c r="T33" s="65">
        <f ca="1">SUM($H33:(OFFSET($H33,0,AVANCE060826!$T$2)))</f>
        <v>198587.2416666667</v>
      </c>
      <c r="U33" s="1014"/>
    </row>
    <row r="34" spans="1:21" ht="37.5" customHeight="1" x14ac:dyDescent="0.25">
      <c r="A34" s="311" t="s">
        <v>798</v>
      </c>
      <c r="B34" s="385" t="s">
        <v>797</v>
      </c>
      <c r="C34" s="314"/>
      <c r="D34" s="1009"/>
      <c r="E34" s="1011"/>
      <c r="F34" s="1013"/>
      <c r="G34" s="351" t="s">
        <v>53</v>
      </c>
      <c r="H34" s="770"/>
      <c r="I34" s="770">
        <v>19858.73</v>
      </c>
      <c r="J34" s="770">
        <v>19858.73</v>
      </c>
      <c r="K34" s="770">
        <v>19858.73</v>
      </c>
      <c r="L34" s="770"/>
      <c r="M34" s="770">
        <v>19858.73</v>
      </c>
      <c r="N34" s="770">
        <v>19858.73</v>
      </c>
      <c r="O34" s="770">
        <v>19858.73</v>
      </c>
      <c r="P34" s="822">
        <v>19858.73</v>
      </c>
      <c r="Q34" s="770"/>
      <c r="R34" s="770"/>
      <c r="S34" s="770"/>
      <c r="T34" s="65">
        <f t="shared" si="2"/>
        <v>139011.10999999999</v>
      </c>
      <c r="U34" s="1015"/>
    </row>
    <row r="35" spans="1:21" ht="37.5" customHeight="1" x14ac:dyDescent="0.25">
      <c r="A35" s="311">
        <v>380200</v>
      </c>
      <c r="B35" s="385">
        <v>275901</v>
      </c>
      <c r="C35" s="314" t="s">
        <v>461</v>
      </c>
      <c r="D35" s="1008" t="s">
        <v>800</v>
      </c>
      <c r="E35" s="1010" t="s">
        <v>196</v>
      </c>
      <c r="F35" s="1012">
        <f>SUM(H35:S35)</f>
        <v>3055440</v>
      </c>
      <c r="G35" s="351" t="s">
        <v>52</v>
      </c>
      <c r="H35" s="617"/>
      <c r="I35" s="617">
        <f t="shared" ref="I35:S35" si="19">VLOOKUP($A35&amp;$B35&amp;I$10,Base,8,FALSE)</f>
        <v>254620</v>
      </c>
      <c r="J35" s="617">
        <f t="shared" si="19"/>
        <v>254620</v>
      </c>
      <c r="K35" s="617">
        <f t="shared" si="19"/>
        <v>254620</v>
      </c>
      <c r="L35" s="617">
        <f t="shared" si="19"/>
        <v>254620</v>
      </c>
      <c r="M35" s="617">
        <f t="shared" si="19"/>
        <v>254620</v>
      </c>
      <c r="N35" s="617">
        <f t="shared" si="19"/>
        <v>254620</v>
      </c>
      <c r="O35" s="617">
        <f t="shared" si="19"/>
        <v>254620</v>
      </c>
      <c r="P35" s="617">
        <f t="shared" si="19"/>
        <v>254620</v>
      </c>
      <c r="Q35" s="617">
        <f t="shared" si="19"/>
        <v>254620</v>
      </c>
      <c r="R35" s="617">
        <f t="shared" si="19"/>
        <v>254620</v>
      </c>
      <c r="S35" s="617">
        <f t="shared" si="19"/>
        <v>509240</v>
      </c>
      <c r="T35" s="65">
        <f ca="1">SUM($H35:(OFFSET($H35,0,AVANCE060826!$T$2)))</f>
        <v>2291580</v>
      </c>
      <c r="U35" s="1014"/>
    </row>
    <row r="36" spans="1:21" ht="37.5" customHeight="1" x14ac:dyDescent="0.25">
      <c r="A36" s="311">
        <v>380200</v>
      </c>
      <c r="B36" s="385">
        <v>275901</v>
      </c>
      <c r="C36" s="314"/>
      <c r="D36" s="1009"/>
      <c r="E36" s="1011"/>
      <c r="F36" s="1013"/>
      <c r="G36" s="351" t="s">
        <v>53</v>
      </c>
      <c r="H36" s="617"/>
      <c r="I36" s="617">
        <f t="shared" ref="I36:S36" si="20">VLOOKUP($A36&amp;$B36&amp;I$10,Base,9,FALSE)</f>
        <v>254620</v>
      </c>
      <c r="J36" s="617">
        <f t="shared" si="20"/>
        <v>254620</v>
      </c>
      <c r="K36" s="617">
        <f t="shared" si="20"/>
        <v>254620</v>
      </c>
      <c r="L36" s="617">
        <f t="shared" si="20"/>
        <v>254620</v>
      </c>
      <c r="M36" s="617">
        <f t="shared" si="20"/>
        <v>254620</v>
      </c>
      <c r="N36" s="617">
        <f t="shared" si="20"/>
        <v>254620</v>
      </c>
      <c r="O36" s="617">
        <f t="shared" si="20"/>
        <v>254620</v>
      </c>
      <c r="P36" s="617">
        <f>VLOOKUP($A36&amp;$B36&amp;P$10,Base,9,FALSE)</f>
        <v>254620</v>
      </c>
      <c r="Q36" s="617">
        <f t="shared" si="20"/>
        <v>0</v>
      </c>
      <c r="R36" s="617">
        <f t="shared" si="20"/>
        <v>0</v>
      </c>
      <c r="S36" s="617">
        <f t="shared" si="20"/>
        <v>0</v>
      </c>
      <c r="T36" s="65">
        <f t="shared" si="2"/>
        <v>2036960</v>
      </c>
      <c r="U36" s="1015"/>
    </row>
    <row r="37" spans="1:21" ht="37.5" customHeight="1" x14ac:dyDescent="0.25">
      <c r="A37" s="346">
        <v>380200</v>
      </c>
      <c r="B37" s="618">
        <v>275903</v>
      </c>
      <c r="C37" s="619" t="s">
        <v>470</v>
      </c>
      <c r="D37" s="1016" t="s">
        <v>801</v>
      </c>
      <c r="E37" s="1018" t="s">
        <v>196</v>
      </c>
      <c r="F37" s="1012">
        <f>SUM(H37:S37)</f>
        <v>303387</v>
      </c>
      <c r="G37" s="351" t="s">
        <v>52</v>
      </c>
      <c r="H37" s="617"/>
      <c r="I37" s="617">
        <f t="shared" ref="I37:S37" si="21">VLOOKUP($A37&amp;$B37&amp;I$10,Base,8,FALSE)</f>
        <v>25282.2</v>
      </c>
      <c r="J37" s="617">
        <f t="shared" si="21"/>
        <v>25282.2</v>
      </c>
      <c r="K37" s="617">
        <f t="shared" si="21"/>
        <v>25282.2</v>
      </c>
      <c r="L37" s="617">
        <f t="shared" si="21"/>
        <v>25282.2</v>
      </c>
      <c r="M37" s="617">
        <f t="shared" si="21"/>
        <v>25282.2</v>
      </c>
      <c r="N37" s="617">
        <f t="shared" si="21"/>
        <v>25282.2</v>
      </c>
      <c r="O37" s="617">
        <f t="shared" si="21"/>
        <v>0</v>
      </c>
      <c r="P37" s="617">
        <f t="shared" si="21"/>
        <v>50564.4</v>
      </c>
      <c r="Q37" s="617">
        <f t="shared" si="21"/>
        <v>25289.4</v>
      </c>
      <c r="R37" s="617">
        <f t="shared" si="21"/>
        <v>25283</v>
      </c>
      <c r="S37" s="617">
        <f t="shared" si="21"/>
        <v>50557</v>
      </c>
      <c r="T37" s="65">
        <f ca="1">SUM($H37:(OFFSET($H37,0,AVANCE060826!$T$2)))</f>
        <v>227547</v>
      </c>
      <c r="U37" s="1014"/>
    </row>
    <row r="38" spans="1:21" ht="37.5" customHeight="1" x14ac:dyDescent="0.25">
      <c r="A38" s="346">
        <v>380200</v>
      </c>
      <c r="B38" s="618">
        <v>275903</v>
      </c>
      <c r="C38" s="619"/>
      <c r="D38" s="1017"/>
      <c r="E38" s="1019"/>
      <c r="F38" s="1013"/>
      <c r="G38" s="351" t="s">
        <v>53</v>
      </c>
      <c r="H38" s="617"/>
      <c r="I38" s="617">
        <f t="shared" ref="I38:S38" si="22">VLOOKUP($A38&amp;$B38&amp;I$10,Base,9,FALSE)</f>
        <v>25282.2</v>
      </c>
      <c r="J38" s="617">
        <f t="shared" si="22"/>
        <v>25282.2</v>
      </c>
      <c r="K38" s="617">
        <f t="shared" si="22"/>
        <v>25282.2</v>
      </c>
      <c r="L38" s="617">
        <f t="shared" si="22"/>
        <v>25282.2</v>
      </c>
      <c r="M38" s="617">
        <f t="shared" si="22"/>
        <v>25282.2</v>
      </c>
      <c r="N38" s="617">
        <f t="shared" si="22"/>
        <v>25282.2</v>
      </c>
      <c r="O38" s="617">
        <f t="shared" si="22"/>
        <v>0</v>
      </c>
      <c r="P38" s="617">
        <f t="shared" si="22"/>
        <v>50564.4</v>
      </c>
      <c r="Q38" s="617">
        <f t="shared" si="22"/>
        <v>0</v>
      </c>
      <c r="R38" s="617">
        <f t="shared" si="22"/>
        <v>0</v>
      </c>
      <c r="S38" s="617">
        <f t="shared" si="22"/>
        <v>0</v>
      </c>
      <c r="T38" s="65">
        <f t="shared" si="2"/>
        <v>202257.6</v>
      </c>
      <c r="U38" s="1015"/>
    </row>
    <row r="39" spans="1:21" ht="37.5" customHeight="1" x14ac:dyDescent="0.25">
      <c r="A39" s="311">
        <v>920201</v>
      </c>
      <c r="B39" s="385">
        <v>278010</v>
      </c>
      <c r="C39" s="314" t="s">
        <v>485</v>
      </c>
      <c r="D39" s="1008" t="s">
        <v>802</v>
      </c>
      <c r="E39" s="1010" t="s">
        <v>210</v>
      </c>
      <c r="F39" s="1012">
        <f>SUM(H39:S39)</f>
        <v>88086</v>
      </c>
      <c r="G39" s="351" t="s">
        <v>52</v>
      </c>
      <c r="H39" s="617"/>
      <c r="I39" s="617">
        <f t="shared" ref="I39:S39" si="23">VLOOKUP($A39&amp;$B39&amp;I$10,Base,8,FALSE)</f>
        <v>0</v>
      </c>
      <c r="J39" s="617">
        <f t="shared" si="23"/>
        <v>14680.43</v>
      </c>
      <c r="K39" s="617">
        <f t="shared" si="23"/>
        <v>0</v>
      </c>
      <c r="L39" s="617">
        <f t="shared" si="23"/>
        <v>14680.43</v>
      </c>
      <c r="M39" s="617">
        <f t="shared" si="23"/>
        <v>0</v>
      </c>
      <c r="N39" s="617">
        <f t="shared" si="23"/>
        <v>14680.43</v>
      </c>
      <c r="O39" s="617">
        <f t="shared" si="23"/>
        <v>0</v>
      </c>
      <c r="P39" s="617">
        <f t="shared" si="23"/>
        <v>14680.43</v>
      </c>
      <c r="Q39" s="617">
        <f t="shared" si="23"/>
        <v>7347.28</v>
      </c>
      <c r="R39" s="617">
        <f t="shared" si="23"/>
        <v>7341</v>
      </c>
      <c r="S39" s="617">
        <f t="shared" si="23"/>
        <v>14676</v>
      </c>
      <c r="T39" s="65">
        <f ca="1">SUM($H39:(OFFSET($H39,0,AVANCE060826!$T$2)))</f>
        <v>66069</v>
      </c>
      <c r="U39" s="1014"/>
    </row>
    <row r="40" spans="1:21" ht="37.5" customHeight="1" x14ac:dyDescent="0.25">
      <c r="A40" s="311">
        <v>920201</v>
      </c>
      <c r="B40" s="385">
        <v>278010</v>
      </c>
      <c r="C40" s="314"/>
      <c r="D40" s="1009"/>
      <c r="E40" s="1011"/>
      <c r="F40" s="1013"/>
      <c r="G40" s="351" t="s">
        <v>53</v>
      </c>
      <c r="H40" s="617"/>
      <c r="I40" s="617">
        <f t="shared" ref="I40:S40" si="24">VLOOKUP($A40&amp;$B40&amp;I$10,Base,9,FALSE)</f>
        <v>0</v>
      </c>
      <c r="J40" s="617">
        <f t="shared" si="24"/>
        <v>14680.43</v>
      </c>
      <c r="K40" s="617">
        <f t="shared" si="24"/>
        <v>0</v>
      </c>
      <c r="L40" s="617">
        <f t="shared" si="24"/>
        <v>14680.43</v>
      </c>
      <c r="M40" s="617">
        <f t="shared" si="24"/>
        <v>0</v>
      </c>
      <c r="N40" s="617">
        <f t="shared" si="24"/>
        <v>14680.43</v>
      </c>
      <c r="O40" s="617">
        <f t="shared" si="24"/>
        <v>0</v>
      </c>
      <c r="P40" s="617">
        <f t="shared" si="24"/>
        <v>14680.43</v>
      </c>
      <c r="Q40" s="617">
        <f t="shared" si="24"/>
        <v>0</v>
      </c>
      <c r="R40" s="617">
        <f t="shared" si="24"/>
        <v>0</v>
      </c>
      <c r="S40" s="617">
        <f t="shared" si="24"/>
        <v>0</v>
      </c>
      <c r="T40" s="65">
        <f t="shared" si="2"/>
        <v>58721.72</v>
      </c>
      <c r="U40" s="1015"/>
    </row>
    <row r="41" spans="1:21" ht="37.5" customHeight="1" x14ac:dyDescent="0.25">
      <c r="A41" s="346">
        <v>920201</v>
      </c>
      <c r="B41" s="618">
        <v>278004</v>
      </c>
      <c r="C41" s="619" t="s">
        <v>488</v>
      </c>
      <c r="D41" s="1016" t="s">
        <v>803</v>
      </c>
      <c r="E41" s="1018" t="s">
        <v>210</v>
      </c>
      <c r="F41" s="1012">
        <f>SUM(H41:S41)</f>
        <v>151506</v>
      </c>
      <c r="G41" s="351" t="s">
        <v>52</v>
      </c>
      <c r="H41" s="617"/>
      <c r="I41" s="617">
        <f t="shared" ref="I41:S41" si="25">VLOOKUP($A41&amp;$B41&amp;I$10,Base,8,FALSE)</f>
        <v>12625.44</v>
      </c>
      <c r="J41" s="617">
        <f t="shared" si="25"/>
        <v>12625.44</v>
      </c>
      <c r="K41" s="617">
        <f t="shared" si="25"/>
        <v>12625.44</v>
      </c>
      <c r="L41" s="617">
        <f t="shared" si="25"/>
        <v>12625.44</v>
      </c>
      <c r="M41" s="617">
        <f t="shared" si="25"/>
        <v>0</v>
      </c>
      <c r="N41" s="617">
        <f t="shared" si="25"/>
        <v>0</v>
      </c>
      <c r="O41" s="617">
        <f t="shared" si="25"/>
        <v>37876.32</v>
      </c>
      <c r="P41" s="617">
        <f t="shared" si="25"/>
        <v>0</v>
      </c>
      <c r="Q41" s="617">
        <f t="shared" si="25"/>
        <v>25255.919999999998</v>
      </c>
      <c r="R41" s="617">
        <f t="shared" si="25"/>
        <v>12626</v>
      </c>
      <c r="S41" s="617">
        <f t="shared" si="25"/>
        <v>25246</v>
      </c>
      <c r="T41" s="65">
        <f ca="1">SUM($H41:(OFFSET($H41,0,AVANCE060826!$T$2)))</f>
        <v>113634</v>
      </c>
      <c r="U41" s="1014"/>
    </row>
    <row r="42" spans="1:21" ht="37.5" customHeight="1" x14ac:dyDescent="0.25">
      <c r="A42" s="346">
        <v>920201</v>
      </c>
      <c r="B42" s="618">
        <v>278004</v>
      </c>
      <c r="C42" s="619"/>
      <c r="D42" s="1017"/>
      <c r="E42" s="1019"/>
      <c r="F42" s="1013"/>
      <c r="G42" s="351" t="s">
        <v>53</v>
      </c>
      <c r="H42" s="617"/>
      <c r="I42" s="617">
        <f t="shared" ref="I42:S42" si="26">VLOOKUP($A42&amp;$B42&amp;I$10,Base,9,FALSE)</f>
        <v>12625.44</v>
      </c>
      <c r="J42" s="617">
        <f t="shared" si="26"/>
        <v>12625.44</v>
      </c>
      <c r="K42" s="617">
        <f t="shared" si="26"/>
        <v>12625.44</v>
      </c>
      <c r="L42" s="617">
        <f t="shared" si="26"/>
        <v>12625.44</v>
      </c>
      <c r="M42" s="617">
        <f t="shared" si="26"/>
        <v>0</v>
      </c>
      <c r="N42" s="617">
        <f t="shared" si="26"/>
        <v>0</v>
      </c>
      <c r="O42" s="617">
        <f t="shared" si="26"/>
        <v>37876.32</v>
      </c>
      <c r="P42" s="617">
        <f t="shared" si="26"/>
        <v>0</v>
      </c>
      <c r="Q42" s="617">
        <f t="shared" si="26"/>
        <v>0</v>
      </c>
      <c r="R42" s="617">
        <f t="shared" si="26"/>
        <v>0</v>
      </c>
      <c r="S42" s="617">
        <f t="shared" si="26"/>
        <v>0</v>
      </c>
      <c r="T42" s="65">
        <f t="shared" si="2"/>
        <v>88378.08</v>
      </c>
      <c r="U42" s="1015"/>
    </row>
    <row r="43" spans="1:21" ht="37.5" customHeight="1" x14ac:dyDescent="0.25">
      <c r="A43" s="346">
        <v>150900</v>
      </c>
      <c r="B43" s="618">
        <v>278002</v>
      </c>
      <c r="C43" s="619" t="s">
        <v>497</v>
      </c>
      <c r="D43" s="1016" t="s">
        <v>804</v>
      </c>
      <c r="E43" s="1018" t="s">
        <v>805</v>
      </c>
      <c r="F43" s="1012">
        <f>SUM(H43:S43)</f>
        <v>622337</v>
      </c>
      <c r="G43" s="351" t="s">
        <v>52</v>
      </c>
      <c r="H43" s="617"/>
      <c r="I43" s="617">
        <f t="shared" ref="I43:S43" si="27">VLOOKUP($A43&amp;$B43&amp;I$10,Base,8,FALSE)</f>
        <v>51859.92</v>
      </c>
      <c r="J43" s="617">
        <f t="shared" si="27"/>
        <v>51859.92</v>
      </c>
      <c r="K43" s="617">
        <f t="shared" si="27"/>
        <v>51859.92</v>
      </c>
      <c r="L43" s="617">
        <f t="shared" si="27"/>
        <v>51859.92</v>
      </c>
      <c r="M43" s="617">
        <f t="shared" si="27"/>
        <v>51859.92</v>
      </c>
      <c r="N43" s="617">
        <f t="shared" si="27"/>
        <v>51859.92</v>
      </c>
      <c r="O43" s="617">
        <f t="shared" si="27"/>
        <v>51859.92</v>
      </c>
      <c r="P43" s="617">
        <f t="shared" si="27"/>
        <v>51859.92</v>
      </c>
      <c r="Q43" s="617">
        <f t="shared" si="27"/>
        <v>51878.64</v>
      </c>
      <c r="R43" s="617">
        <f t="shared" si="27"/>
        <v>51862</v>
      </c>
      <c r="S43" s="617">
        <f t="shared" si="27"/>
        <v>103717</v>
      </c>
      <c r="T43" s="65">
        <f ca="1">SUM($H43:(OFFSET($H43,0,AVANCE060826!$T$2)))</f>
        <v>466757.99999999994</v>
      </c>
      <c r="U43" s="1014"/>
    </row>
    <row r="44" spans="1:21" ht="37.5" customHeight="1" x14ac:dyDescent="0.25">
      <c r="A44" s="346">
        <v>150900</v>
      </c>
      <c r="B44" s="618">
        <v>278002</v>
      </c>
      <c r="C44" s="619"/>
      <c r="D44" s="1017"/>
      <c r="E44" s="1019"/>
      <c r="F44" s="1013"/>
      <c r="G44" s="351" t="s">
        <v>53</v>
      </c>
      <c r="H44" s="617"/>
      <c r="I44" s="617">
        <f t="shared" ref="I44:S44" si="28">VLOOKUP($A44&amp;$B44&amp;I$10,Base,9,FALSE)</f>
        <v>51859.92</v>
      </c>
      <c r="J44" s="617">
        <f t="shared" si="28"/>
        <v>51859.92</v>
      </c>
      <c r="K44" s="617">
        <f t="shared" si="28"/>
        <v>51859.92</v>
      </c>
      <c r="L44" s="617">
        <f t="shared" si="28"/>
        <v>51859.92</v>
      </c>
      <c r="M44" s="617">
        <f t="shared" si="28"/>
        <v>51859.92</v>
      </c>
      <c r="N44" s="617">
        <f t="shared" si="28"/>
        <v>51859.92</v>
      </c>
      <c r="O44" s="617">
        <f t="shared" si="28"/>
        <v>51859.92</v>
      </c>
      <c r="P44" s="617">
        <f t="shared" si="28"/>
        <v>51859.92</v>
      </c>
      <c r="Q44" s="617">
        <f t="shared" si="28"/>
        <v>0</v>
      </c>
      <c r="R44" s="617">
        <f t="shared" si="28"/>
        <v>0</v>
      </c>
      <c r="S44" s="617">
        <f t="shared" si="28"/>
        <v>0</v>
      </c>
      <c r="T44" s="65">
        <f t="shared" si="2"/>
        <v>414879.35999999993</v>
      </c>
      <c r="U44" s="1015"/>
    </row>
    <row r="45" spans="1:21" ht="37.5" customHeight="1" x14ac:dyDescent="0.25">
      <c r="A45" s="346">
        <v>920201</v>
      </c>
      <c r="B45" s="621">
        <v>278009</v>
      </c>
      <c r="C45" s="619" t="s">
        <v>461</v>
      </c>
      <c r="D45" s="1016" t="s">
        <v>806</v>
      </c>
      <c r="E45" s="1018" t="s">
        <v>210</v>
      </c>
      <c r="F45" s="1012">
        <f>SUM(H45:S45)</f>
        <v>459966</v>
      </c>
      <c r="G45" s="351" t="s">
        <v>52</v>
      </c>
      <c r="H45" s="617"/>
      <c r="I45" s="617">
        <f t="shared" ref="I45:S45" si="29">VLOOKUP($A45&amp;$B45&amp;I$10,Base,8,FALSE)</f>
        <v>0</v>
      </c>
      <c r="J45" s="617">
        <f t="shared" si="29"/>
        <v>38328.769999999997</v>
      </c>
      <c r="K45" s="617">
        <f t="shared" si="29"/>
        <v>38328.769999999997</v>
      </c>
      <c r="L45" s="617">
        <f t="shared" si="29"/>
        <v>38328.769999999997</v>
      </c>
      <c r="M45" s="617">
        <f t="shared" si="29"/>
        <v>76657.59</v>
      </c>
      <c r="N45" s="617">
        <f t="shared" si="29"/>
        <v>0</v>
      </c>
      <c r="O45" s="617">
        <f t="shared" si="29"/>
        <v>38328.769999999997</v>
      </c>
      <c r="P45" s="617">
        <f t="shared" si="29"/>
        <v>76657.59</v>
      </c>
      <c r="Q45" s="617">
        <f t="shared" si="29"/>
        <v>38348.74</v>
      </c>
      <c r="R45" s="617">
        <f t="shared" si="29"/>
        <v>38331</v>
      </c>
      <c r="S45" s="617">
        <f t="shared" si="29"/>
        <v>76656</v>
      </c>
      <c r="T45" s="65">
        <f ca="1">SUM($H45:(OFFSET($H45,0,AVANCE060826!$T$2)))</f>
        <v>344979</v>
      </c>
      <c r="U45" s="1014"/>
    </row>
    <row r="46" spans="1:21" ht="37.5" customHeight="1" thickBot="1" x14ac:dyDescent="0.3">
      <c r="A46" s="346">
        <v>920201</v>
      </c>
      <c r="B46" s="621">
        <v>278009</v>
      </c>
      <c r="C46" s="619"/>
      <c r="D46" s="1017"/>
      <c r="E46" s="1019"/>
      <c r="F46" s="1013"/>
      <c r="G46" s="351" t="s">
        <v>53</v>
      </c>
      <c r="H46" s="622"/>
      <c r="I46" s="622">
        <f t="shared" ref="I46:S46" si="30">VLOOKUP($A46&amp;$B46&amp;I$10,Base,9,FALSE)</f>
        <v>0</v>
      </c>
      <c r="J46" s="617">
        <f t="shared" si="30"/>
        <v>38328.769999999997</v>
      </c>
      <c r="K46" s="617">
        <f t="shared" si="30"/>
        <v>38328.769999999997</v>
      </c>
      <c r="L46" s="617">
        <f t="shared" si="30"/>
        <v>38328.769999999997</v>
      </c>
      <c r="M46" s="622">
        <f t="shared" si="30"/>
        <v>76657.59</v>
      </c>
      <c r="N46" s="622">
        <f t="shared" si="30"/>
        <v>0</v>
      </c>
      <c r="O46" s="622">
        <f t="shared" si="30"/>
        <v>38328.769999999997</v>
      </c>
      <c r="P46" s="622">
        <f t="shared" si="30"/>
        <v>76657.59</v>
      </c>
      <c r="Q46" s="622">
        <f t="shared" si="30"/>
        <v>0</v>
      </c>
      <c r="R46" s="622">
        <f t="shared" si="30"/>
        <v>0</v>
      </c>
      <c r="S46" s="617">
        <f t="shared" si="30"/>
        <v>0</v>
      </c>
      <c r="T46" s="65">
        <f t="shared" si="2"/>
        <v>306630.26</v>
      </c>
      <c r="U46" s="1015"/>
    </row>
    <row r="47" spans="1:21" ht="15.75" thickBot="1" x14ac:dyDescent="0.3">
      <c r="A47" s="40">
        <v>17</v>
      </c>
      <c r="B47" s="4"/>
      <c r="C47" s="24">
        <f>COUNT(#REF!)</f>
        <v>0</v>
      </c>
      <c r="D47" s="7"/>
      <c r="E47" s="623"/>
      <c r="F47" s="84">
        <f>SUM(F13:F46)</f>
        <v>16352591.09</v>
      </c>
      <c r="G47" s="351" t="s">
        <v>52</v>
      </c>
      <c r="H47" s="84">
        <f t="shared" ref="H47:S47" si="31">+H45+H43+H41+H39++H37+H35+H33+H29+H27+H25+H23+H21+H19+H17+H15+H13+H31</f>
        <v>67259.924166666664</v>
      </c>
      <c r="I47" s="84">
        <f t="shared" si="31"/>
        <v>1019241.4441666667</v>
      </c>
      <c r="J47" s="84">
        <f t="shared" si="31"/>
        <v>1445846.6241666665</v>
      </c>
      <c r="K47" s="84">
        <f t="shared" si="31"/>
        <v>1303454.3941666665</v>
      </c>
      <c r="L47" s="84">
        <f t="shared" si="31"/>
        <v>1629118.4441666666</v>
      </c>
      <c r="M47" s="84">
        <f t="shared" si="31"/>
        <v>1078239.2141666666</v>
      </c>
      <c r="N47" s="84">
        <f t="shared" si="31"/>
        <v>1636776.7941666667</v>
      </c>
      <c r="O47" s="84">
        <f t="shared" si="31"/>
        <v>1159712.8941666665</v>
      </c>
      <c r="P47" s="84">
        <f t="shared" si="31"/>
        <v>1550336.2241666666</v>
      </c>
      <c r="Q47" s="84">
        <f t="shared" si="31"/>
        <v>1441753.2841666667</v>
      </c>
      <c r="R47" s="84">
        <f t="shared" si="31"/>
        <v>1362719.9241666666</v>
      </c>
      <c r="S47" s="84">
        <f t="shared" si="31"/>
        <v>2658131.9241666663</v>
      </c>
      <c r="T47" s="84">
        <f ca="1">+T13+T15+T17+T19+T21+T23+T25+T27+T29+T31+T33+T35+T37+T39+T41+T43+T45</f>
        <v>12331739.241666667</v>
      </c>
      <c r="U47" s="5"/>
    </row>
    <row r="48" spans="1:21" ht="31.5" customHeight="1" thickBot="1" x14ac:dyDescent="0.3">
      <c r="F48" s="3"/>
      <c r="G48" s="351" t="s">
        <v>53</v>
      </c>
      <c r="H48" s="84">
        <f t="shared" ref="H48:T48" si="32">+H46+H44+H42+H40++H38+H36+H34+H30+H28+H26+H24+H22+H20+H18+H16+H14+H32</f>
        <v>0</v>
      </c>
      <c r="I48" s="84">
        <f t="shared" si="32"/>
        <v>971840.25</v>
      </c>
      <c r="J48" s="84">
        <f t="shared" si="32"/>
        <v>1493245.83</v>
      </c>
      <c r="K48" s="84">
        <f t="shared" si="32"/>
        <v>1256053.2</v>
      </c>
      <c r="L48" s="84">
        <f t="shared" si="32"/>
        <v>1656658.9200000002</v>
      </c>
      <c r="M48" s="84">
        <f t="shared" si="32"/>
        <v>1030838.02</v>
      </c>
      <c r="N48" s="84">
        <f t="shared" ref="N48:S48" si="33">+N46+N44+N42+N40++N38+N36+N34+N30+N28+N26+N24+N22+N20+N18+N16+N14+N32</f>
        <v>1684176</v>
      </c>
      <c r="O48" s="84">
        <f t="shared" si="33"/>
        <v>1112311.7</v>
      </c>
      <c r="P48" s="84">
        <f t="shared" si="33"/>
        <v>1597735.43</v>
      </c>
      <c r="Q48" s="84">
        <f>+Q46+Q44+Q42+Q40++Q38+Q36+Q34+Q30+Q28+Q26+Q24+Q22+Q20+Q18+Q16+Q14+Q32</f>
        <v>0</v>
      </c>
      <c r="R48" s="84">
        <f t="shared" si="33"/>
        <v>0</v>
      </c>
      <c r="S48" s="84">
        <f t="shared" si="33"/>
        <v>0</v>
      </c>
      <c r="T48" s="84">
        <f t="shared" si="32"/>
        <v>10802859.349999998</v>
      </c>
      <c r="U48" s="857"/>
    </row>
    <row r="49" spans="20:21" ht="24.75" customHeight="1" x14ac:dyDescent="0.25">
      <c r="T49" s="2"/>
      <c r="U49" s="857"/>
    </row>
    <row r="50" spans="20:21" ht="31.5" customHeight="1" x14ac:dyDescent="0.25">
      <c r="T50" s="9"/>
    </row>
    <row r="51" spans="20:21" x14ac:dyDescent="0.25">
      <c r="T51" s="9"/>
    </row>
  </sheetData>
  <autoFilter ref="B12:B48"/>
  <mergeCells count="88">
    <mergeCell ref="U48:U49"/>
    <mergeCell ref="U43:U44"/>
    <mergeCell ref="D45:D46"/>
    <mergeCell ref="E45:E46"/>
    <mergeCell ref="F45:F46"/>
    <mergeCell ref="U45:U46"/>
    <mergeCell ref="D43:D44"/>
    <mergeCell ref="E43:E44"/>
    <mergeCell ref="F43:F44"/>
    <mergeCell ref="D41:D42"/>
    <mergeCell ref="E41:E42"/>
    <mergeCell ref="F41:F42"/>
    <mergeCell ref="U41:U42"/>
    <mergeCell ref="D39:D40"/>
    <mergeCell ref="E39:E40"/>
    <mergeCell ref="F39:F40"/>
    <mergeCell ref="U33:U34"/>
    <mergeCell ref="D35:D36"/>
    <mergeCell ref="E35:E36"/>
    <mergeCell ref="F35:F36"/>
    <mergeCell ref="U39:U40"/>
    <mergeCell ref="U35:U36"/>
    <mergeCell ref="D37:D38"/>
    <mergeCell ref="E37:E38"/>
    <mergeCell ref="F37:F38"/>
    <mergeCell ref="U37:U38"/>
    <mergeCell ref="U27:U28"/>
    <mergeCell ref="D29:D30"/>
    <mergeCell ref="E29:E30"/>
    <mergeCell ref="F29:F30"/>
    <mergeCell ref="U29:U30"/>
    <mergeCell ref="D27:D28"/>
    <mergeCell ref="E27:E28"/>
    <mergeCell ref="F27:F28"/>
    <mergeCell ref="D31:D32"/>
    <mergeCell ref="E31:E32"/>
    <mergeCell ref="F31:F32"/>
    <mergeCell ref="D33:D34"/>
    <mergeCell ref="E33:E34"/>
    <mergeCell ref="F33:F34"/>
    <mergeCell ref="U23:U24"/>
    <mergeCell ref="D25:D26"/>
    <mergeCell ref="E25:E26"/>
    <mergeCell ref="F25:F26"/>
    <mergeCell ref="U25:U26"/>
    <mergeCell ref="D23:D24"/>
    <mergeCell ref="E23:E24"/>
    <mergeCell ref="F23:F24"/>
    <mergeCell ref="U19:U20"/>
    <mergeCell ref="D21:D22"/>
    <mergeCell ref="E21:E22"/>
    <mergeCell ref="F21:F22"/>
    <mergeCell ref="U21:U22"/>
    <mergeCell ref="D19:D20"/>
    <mergeCell ref="E19:E20"/>
    <mergeCell ref="F19:F20"/>
    <mergeCell ref="U15:U16"/>
    <mergeCell ref="D17:D18"/>
    <mergeCell ref="E17:E18"/>
    <mergeCell ref="F17:F18"/>
    <mergeCell ref="U17:U18"/>
    <mergeCell ref="D15:D16"/>
    <mergeCell ref="E15:E16"/>
    <mergeCell ref="F15:F16"/>
    <mergeCell ref="D13:D14"/>
    <mergeCell ref="E13:E14"/>
    <mergeCell ref="F13:F14"/>
    <mergeCell ref="U13:U14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6" fitToHeight="2" orientation="landscape" r:id="rId1"/>
  <ignoredErrors>
    <ignoredError sqref="Q34:S34 I34:N34 O34 I24 T44 T42 T14:T41 T43 T45 Q24:S24 K24:O24" formula="1"/>
  </ignoredError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zoomScale="80" zoomScaleNormal="80" zoomScaleSheetLayoutView="85" zoomScalePageLayoutView="80" workbookViewId="0">
      <selection activeCell="O12" sqref="O12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customWidth="1"/>
    <col min="10" max="10" width="15" customWidth="1"/>
    <col min="11" max="11" width="15" hidden="1" customWidth="1"/>
    <col min="12" max="12" width="10.28515625" hidden="1" customWidth="1"/>
    <col min="13" max="13" width="47.140625" customWidth="1"/>
    <col min="14" max="14" width="1.2851562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147</v>
      </c>
      <c r="H8" s="9"/>
    </row>
    <row r="9" spans="1:13" ht="7.5" customHeight="1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838"/>
      <c r="H11" s="58" t="s">
        <v>91</v>
      </c>
      <c r="I11" s="71" t="s">
        <v>92</v>
      </c>
      <c r="J11" s="72" t="s">
        <v>962</v>
      </c>
      <c r="K11" s="26" t="s">
        <v>29</v>
      </c>
      <c r="L11" s="838"/>
      <c r="M11" s="867"/>
    </row>
    <row r="12" spans="1:13" ht="94.5" customHeight="1" thickTop="1" thickBot="1" x14ac:dyDescent="0.3">
      <c r="A12" s="181" t="s">
        <v>809</v>
      </c>
      <c r="B12" s="181" t="s">
        <v>37</v>
      </c>
      <c r="C12" s="182" t="s">
        <v>178</v>
      </c>
      <c r="D12" s="143" t="s">
        <v>810</v>
      </c>
      <c r="E12" s="187" t="s">
        <v>180</v>
      </c>
      <c r="F12" s="188">
        <f>TAB_Calendario!F13</f>
        <v>180000</v>
      </c>
      <c r="G12" s="189">
        <f>+F12/12</f>
        <v>15000</v>
      </c>
      <c r="H12" s="128">
        <f ca="1">TAB_Calendario!T13</f>
        <v>135000</v>
      </c>
      <c r="I12" s="128">
        <f>TAB_Calendario!T14</f>
        <v>120000</v>
      </c>
      <c r="J12" s="81">
        <f ca="1">H12-I12</f>
        <v>15000</v>
      </c>
      <c r="K12" s="82">
        <f ca="1">+J12/H12*100</f>
        <v>11.111111111111111</v>
      </c>
      <c r="L12" s="83">
        <f ca="1">+I12/H12*100</f>
        <v>88.888888888888886</v>
      </c>
      <c r="M12" s="191" t="s">
        <v>981</v>
      </c>
    </row>
    <row r="13" spans="1:13" ht="15.75" thickBot="1" x14ac:dyDescent="0.3">
      <c r="A13" s="4"/>
      <c r="B13" s="40">
        <v>1</v>
      </c>
      <c r="C13" s="24">
        <f>COUNT(#REF!)</f>
        <v>0</v>
      </c>
      <c r="D13" s="7"/>
      <c r="E13" s="6"/>
      <c r="F13" s="32">
        <f>SUM(F12:F12)</f>
        <v>180000</v>
      </c>
      <c r="G13" s="32">
        <f>SUM(G12:G12)</f>
        <v>15000</v>
      </c>
      <c r="H13" s="32">
        <f ca="1">SUM(H12:H12)</f>
        <v>135000</v>
      </c>
      <c r="I13" s="32">
        <f>SUM(I12:I12)</f>
        <v>120000</v>
      </c>
      <c r="J13" s="32">
        <f ca="1">H13-I13</f>
        <v>15000</v>
      </c>
      <c r="K13" s="150">
        <f ca="1">+J13/H13*100</f>
        <v>11.111111111111111</v>
      </c>
      <c r="L13" s="151">
        <f ca="1">+I13/H13*100</f>
        <v>88.888888888888886</v>
      </c>
      <c r="M13" s="5"/>
    </row>
    <row r="14" spans="1:13" ht="9.75" customHeight="1" x14ac:dyDescent="0.25">
      <c r="F14" s="3"/>
      <c r="G14" s="3"/>
      <c r="H14" s="2"/>
      <c r="I14" s="2"/>
      <c r="J14" s="2"/>
      <c r="K14" s="2"/>
      <c r="L14" s="2"/>
      <c r="M14" s="70"/>
    </row>
    <row r="15" spans="1:13" ht="31.5" customHeight="1" x14ac:dyDescent="0.25"/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2" fitToHeight="21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showGridLines="0" view="pageBreakPreview" zoomScale="85" zoomScaleNormal="100" zoomScaleSheetLayoutView="85" zoomScalePageLayoutView="80" workbookViewId="0">
      <selection activeCell="A12" sqref="A12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147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32.25" customHeight="1" x14ac:dyDescent="0.25">
      <c r="A11" s="64"/>
      <c r="B11" s="63" t="s">
        <v>18</v>
      </c>
      <c r="C11" s="844" t="s">
        <v>17</v>
      </c>
      <c r="D11" s="846" t="s">
        <v>16</v>
      </c>
      <c r="E11" s="847" t="s">
        <v>15</v>
      </c>
      <c r="F11" s="836" t="s">
        <v>26</v>
      </c>
      <c r="G11" s="837" t="s">
        <v>215</v>
      </c>
      <c r="H11" s="837" t="s">
        <v>39</v>
      </c>
      <c r="I11" s="837" t="s">
        <v>40</v>
      </c>
      <c r="J11" s="837" t="s">
        <v>41</v>
      </c>
      <c r="K11" s="837" t="s">
        <v>42</v>
      </c>
      <c r="L11" s="837" t="s">
        <v>43</v>
      </c>
      <c r="M11" s="837" t="s">
        <v>44</v>
      </c>
      <c r="N11" s="837" t="s">
        <v>45</v>
      </c>
      <c r="O11" s="837" t="s">
        <v>46</v>
      </c>
      <c r="P11" s="837" t="s">
        <v>47</v>
      </c>
      <c r="Q11" s="837" t="s">
        <v>48</v>
      </c>
      <c r="R11" s="837" t="s">
        <v>49</v>
      </c>
      <c r="S11" s="837" t="s">
        <v>50</v>
      </c>
      <c r="T11" s="818" t="s">
        <v>51</v>
      </c>
      <c r="U11" s="834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91"/>
      <c r="E12" s="892"/>
      <c r="F12" s="893"/>
      <c r="G12" s="838"/>
      <c r="H12" s="838"/>
      <c r="I12" s="838"/>
      <c r="J12" s="838"/>
      <c r="K12" s="838"/>
      <c r="L12" s="838"/>
      <c r="M12" s="838"/>
      <c r="N12" s="838"/>
      <c r="O12" s="838"/>
      <c r="P12" s="838"/>
      <c r="Q12" s="838"/>
      <c r="R12" s="838"/>
      <c r="S12" s="838"/>
      <c r="T12" s="58" t="s">
        <v>91</v>
      </c>
      <c r="U12" s="867"/>
    </row>
    <row r="13" spans="1:21" ht="94.5" customHeight="1" thickTop="1" thickBot="1" x14ac:dyDescent="0.3">
      <c r="A13" s="181">
        <v>50100</v>
      </c>
      <c r="B13" s="181">
        <v>289001</v>
      </c>
      <c r="C13" s="182" t="s">
        <v>178</v>
      </c>
      <c r="D13" s="873" t="s">
        <v>810</v>
      </c>
      <c r="E13" s="873" t="s">
        <v>180</v>
      </c>
      <c r="F13" s="895">
        <f>SUM(H13:S13)</f>
        <v>180000</v>
      </c>
      <c r="G13" s="183" t="s">
        <v>52</v>
      </c>
      <c r="H13" s="183"/>
      <c r="I13" s="629">
        <f t="shared" ref="I13:S13" si="0">VLOOKUP($A13&amp;$B13&amp;I$10,Base,8,FALSE)</f>
        <v>0</v>
      </c>
      <c r="J13" s="183">
        <f t="shared" si="0"/>
        <v>30000</v>
      </c>
      <c r="K13" s="183">
        <f t="shared" si="0"/>
        <v>15000</v>
      </c>
      <c r="L13" s="183">
        <f t="shared" si="0"/>
        <v>15000</v>
      </c>
      <c r="M13" s="183">
        <f t="shared" si="0"/>
        <v>15000</v>
      </c>
      <c r="N13" s="183">
        <f t="shared" si="0"/>
        <v>15000</v>
      </c>
      <c r="O13" s="183">
        <f t="shared" si="0"/>
        <v>15000</v>
      </c>
      <c r="P13" s="183">
        <f t="shared" si="0"/>
        <v>15000</v>
      </c>
      <c r="Q13" s="183">
        <f t="shared" si="0"/>
        <v>15000</v>
      </c>
      <c r="R13" s="183">
        <f t="shared" si="0"/>
        <v>15000</v>
      </c>
      <c r="S13" s="183">
        <f t="shared" si="0"/>
        <v>30000</v>
      </c>
      <c r="T13" s="628">
        <f ca="1">SUM($H13:(OFFSET($H13,0,AVANCE060826!$T$2)))</f>
        <v>135000</v>
      </c>
      <c r="U13" s="1020"/>
    </row>
    <row r="14" spans="1:21" ht="94.5" customHeight="1" thickTop="1" x14ac:dyDescent="0.25">
      <c r="A14" s="181">
        <v>50100</v>
      </c>
      <c r="B14" s="181">
        <v>289001</v>
      </c>
      <c r="C14" s="184"/>
      <c r="D14" s="873"/>
      <c r="E14" s="873"/>
      <c r="F14" s="895"/>
      <c r="G14" s="183" t="s">
        <v>53</v>
      </c>
      <c r="H14" s="183"/>
      <c r="I14" s="183">
        <f t="shared" ref="I14:S14" si="1">VLOOKUP($A14&amp;$B14&amp;I$10,Base,9,FALSE)</f>
        <v>0</v>
      </c>
      <c r="J14" s="183">
        <f t="shared" si="1"/>
        <v>30000</v>
      </c>
      <c r="K14" s="183">
        <f t="shared" si="1"/>
        <v>15000</v>
      </c>
      <c r="L14" s="183">
        <f t="shared" si="1"/>
        <v>15000</v>
      </c>
      <c r="M14" s="183">
        <f t="shared" si="1"/>
        <v>15000</v>
      </c>
      <c r="N14" s="183">
        <f t="shared" si="1"/>
        <v>15000</v>
      </c>
      <c r="O14" s="183">
        <f t="shared" si="1"/>
        <v>15000</v>
      </c>
      <c r="P14" s="183">
        <f t="shared" si="1"/>
        <v>15000</v>
      </c>
      <c r="Q14" s="183">
        <f t="shared" si="1"/>
        <v>0</v>
      </c>
      <c r="R14" s="183">
        <f t="shared" si="1"/>
        <v>0</v>
      </c>
      <c r="S14" s="183">
        <f t="shared" si="1"/>
        <v>0</v>
      </c>
      <c r="T14" s="628">
        <f>SUM(H14:S14)</f>
        <v>120000</v>
      </c>
      <c r="U14" s="1021"/>
    </row>
    <row r="15" spans="1:21" ht="15.75" thickBot="1" x14ac:dyDescent="0.3">
      <c r="A15" s="40">
        <v>1</v>
      </c>
      <c r="B15" s="4"/>
      <c r="C15" s="24">
        <f>COUNT(#REF!)</f>
        <v>0</v>
      </c>
      <c r="D15" s="7"/>
      <c r="E15" s="6"/>
      <c r="F15" s="32">
        <f>SUM(F13:F13)</f>
        <v>180000</v>
      </c>
      <c r="G15" s="32">
        <f>SUM(G13:G13)</f>
        <v>0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>
        <f ca="1">SUM(T13:T13)</f>
        <v>135000</v>
      </c>
      <c r="U15" s="5"/>
    </row>
    <row r="16" spans="1:21" ht="31.5" customHeight="1" x14ac:dyDescent="0.25"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2">
        <f>T14</f>
        <v>120000</v>
      </c>
      <c r="U16" s="857"/>
    </row>
    <row r="17" spans="20:21" ht="31.5" customHeight="1" x14ac:dyDescent="0.25">
      <c r="T17" s="2"/>
      <c r="U17" s="857"/>
    </row>
    <row r="18" spans="20:21" ht="31.5" customHeight="1" x14ac:dyDescent="0.25"/>
  </sheetData>
  <mergeCells count="24"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L11:L12"/>
    <mergeCell ref="M11:M12"/>
    <mergeCell ref="N11:N12"/>
    <mergeCell ref="O11:O12"/>
    <mergeCell ref="P11:P12"/>
    <mergeCell ref="U16:U17"/>
    <mergeCell ref="U11:U12"/>
    <mergeCell ref="D13:D14"/>
    <mergeCell ref="E13:E14"/>
    <mergeCell ref="F13:F14"/>
    <mergeCell ref="U13:U14"/>
    <mergeCell ref="Q11:Q12"/>
    <mergeCell ref="R11:R12"/>
    <mergeCell ref="S11:S12"/>
    <mergeCell ref="K11:K1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3" fitToHeight="21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view="pageBreakPreview" topLeftCell="A14" zoomScale="80" zoomScaleNormal="100" zoomScaleSheetLayoutView="80" zoomScalePageLayoutView="80" workbookViewId="0">
      <pane xSplit="1" topLeftCell="B1" activePane="topRight" state="frozen"/>
      <selection activeCell="A7" sqref="A7"/>
      <selection pane="topRight" activeCell="N12" sqref="N12:N22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5.28515625" customWidth="1"/>
    <col min="5" max="5" width="27.28515625" style="1" customWidth="1"/>
    <col min="6" max="7" width="20.85546875" customWidth="1"/>
    <col min="8" max="8" width="22.85546875" customWidth="1"/>
    <col min="9" max="9" width="17.7109375" style="192" customWidth="1"/>
    <col min="10" max="10" width="16.7109375" customWidth="1"/>
    <col min="11" max="11" width="15.5703125" hidden="1" customWidth="1"/>
    <col min="12" max="12" width="13.28515625" hidden="1" customWidth="1"/>
    <col min="13" max="13" width="47.140625" customWidth="1"/>
    <col min="14" max="14" width="2.14062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148</v>
      </c>
      <c r="H8" s="9"/>
      <c r="L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583" t="s">
        <v>92</v>
      </c>
      <c r="J11" s="153" t="s">
        <v>962</v>
      </c>
      <c r="K11" s="153" t="s">
        <v>29</v>
      </c>
      <c r="L11" s="877"/>
      <c r="M11" s="882"/>
    </row>
    <row r="12" spans="1:13" ht="51" customHeight="1" thickTop="1" x14ac:dyDescent="0.25">
      <c r="A12" s="381">
        <v>292417</v>
      </c>
      <c r="B12" s="381">
        <v>200200</v>
      </c>
      <c r="C12" s="344" t="s">
        <v>811</v>
      </c>
      <c r="D12" s="240" t="s">
        <v>812</v>
      </c>
      <c r="E12" s="243" t="s">
        <v>813</v>
      </c>
      <c r="F12" s="244">
        <f>TAMS_Calendario!F13</f>
        <v>65991.240000000005</v>
      </c>
      <c r="G12" s="244">
        <f>+F12/12</f>
        <v>5499.27</v>
      </c>
      <c r="H12" s="67">
        <f ca="1">TAMS_Calendario!T13</f>
        <v>49500</v>
      </c>
      <c r="I12" s="67">
        <f>TAMS_Calendario!T14</f>
        <v>0</v>
      </c>
      <c r="J12" s="67">
        <f t="shared" ref="J12:J23" ca="1" si="0">H12-I12</f>
        <v>49500</v>
      </c>
      <c r="K12" s="67">
        <f ca="1">+J12/H12*100</f>
        <v>100</v>
      </c>
      <c r="L12" s="67">
        <f ca="1">+I12/H12*100</f>
        <v>0</v>
      </c>
      <c r="M12" s="255" t="s">
        <v>320</v>
      </c>
    </row>
    <row r="13" spans="1:13" ht="49.5" hidden="1" customHeight="1" x14ac:dyDescent="0.25">
      <c r="A13" s="385">
        <v>292430</v>
      </c>
      <c r="B13" s="385">
        <v>200200</v>
      </c>
      <c r="C13" s="344" t="s">
        <v>815</v>
      </c>
      <c r="D13" s="240" t="s">
        <v>816</v>
      </c>
      <c r="E13" s="243" t="s">
        <v>817</v>
      </c>
      <c r="F13" s="244"/>
      <c r="G13" s="244">
        <f t="shared" ref="G13:G19" si="1">+F13/12</f>
        <v>0</v>
      </c>
      <c r="H13" s="67"/>
      <c r="I13" s="67"/>
      <c r="J13" s="67">
        <f>+I13-H13</f>
        <v>0</v>
      </c>
      <c r="K13" s="67" t="e">
        <f>+J13/H13*100</f>
        <v>#DIV/0!</v>
      </c>
      <c r="L13" s="67" t="e">
        <f>+I13/H13*100</f>
        <v>#DIV/0!</v>
      </c>
      <c r="M13" s="255" t="s">
        <v>213</v>
      </c>
    </row>
    <row r="14" spans="1:13" ht="45.75" customHeight="1" x14ac:dyDescent="0.25">
      <c r="A14" s="385">
        <v>292434</v>
      </c>
      <c r="B14" s="385">
        <v>200200</v>
      </c>
      <c r="C14" s="344" t="s">
        <v>818</v>
      </c>
      <c r="D14" s="240" t="s">
        <v>819</v>
      </c>
      <c r="E14" s="243" t="s">
        <v>820</v>
      </c>
      <c r="F14" s="244">
        <f>TAMS_Calendario!F17</f>
        <v>50571.360000000001</v>
      </c>
      <c r="G14" s="244">
        <f t="shared" si="1"/>
        <v>4214.28</v>
      </c>
      <c r="H14" s="67">
        <f ca="1">TAMS_Calendario!T17</f>
        <v>37935</v>
      </c>
      <c r="I14" s="67">
        <f>TAMS_Calendario!T18</f>
        <v>0</v>
      </c>
      <c r="J14" s="67">
        <f t="shared" ca="1" si="0"/>
        <v>37935</v>
      </c>
      <c r="K14" s="67">
        <f ca="1">+J14/H14*100</f>
        <v>100</v>
      </c>
      <c r="L14" s="67">
        <f ca="1">+I14/H14*100</f>
        <v>0</v>
      </c>
      <c r="M14" s="255" t="s">
        <v>320</v>
      </c>
    </row>
    <row r="15" spans="1:13" ht="46.5" customHeight="1" x14ac:dyDescent="0.25">
      <c r="A15" s="385">
        <v>292410</v>
      </c>
      <c r="B15" s="385">
        <v>200200</v>
      </c>
      <c r="C15" s="344" t="s">
        <v>821</v>
      </c>
      <c r="D15" s="240" t="s">
        <v>822</v>
      </c>
      <c r="E15" s="243" t="s">
        <v>823</v>
      </c>
      <c r="F15" s="244">
        <f>TAMS_Calendario!F19</f>
        <v>126184.79999999999</v>
      </c>
      <c r="G15" s="244">
        <f t="shared" si="1"/>
        <v>10515.4</v>
      </c>
      <c r="H15" s="67">
        <f ca="1">TAMS_Calendario!T19</f>
        <v>94638.599999999991</v>
      </c>
      <c r="I15" s="67">
        <f>TAMS_Calendario!T20</f>
        <v>84123.12</v>
      </c>
      <c r="J15" s="67">
        <f t="shared" ca="1" si="0"/>
        <v>10515.479999999996</v>
      </c>
      <c r="K15" s="67">
        <f t="shared" ref="K15:K22" ca="1" si="2">+J15/H15*100</f>
        <v>11.111195643215344</v>
      </c>
      <c r="L15" s="67">
        <f t="shared" ref="L15:L22" ca="1" si="3">+I15/H15*100</f>
        <v>88.888804356784661</v>
      </c>
      <c r="M15" s="255" t="s">
        <v>778</v>
      </c>
    </row>
    <row r="16" spans="1:13" ht="51.75" customHeight="1" x14ac:dyDescent="0.25">
      <c r="A16" s="385">
        <v>292440</v>
      </c>
      <c r="B16" s="385">
        <v>200200</v>
      </c>
      <c r="C16" s="268" t="s">
        <v>825</v>
      </c>
      <c r="D16" s="240" t="s">
        <v>826</v>
      </c>
      <c r="E16" s="243" t="s">
        <v>827</v>
      </c>
      <c r="F16" s="244">
        <f>TAMS_Calendario!F21</f>
        <v>70658.48</v>
      </c>
      <c r="G16" s="244">
        <f t="shared" si="1"/>
        <v>5888.206666666666</v>
      </c>
      <c r="H16" s="67">
        <f ca="1">TAMS_Calendario!T21</f>
        <v>52991.479999999996</v>
      </c>
      <c r="I16" s="67">
        <f>TAMS_Calendario!T22</f>
        <v>47105.599999999991</v>
      </c>
      <c r="J16" s="67">
        <f t="shared" ca="1" si="0"/>
        <v>5885.8800000000047</v>
      </c>
      <c r="K16" s="67">
        <f t="shared" ca="1" si="2"/>
        <v>11.107219500191361</v>
      </c>
      <c r="L16" s="67">
        <f t="shared" ca="1" si="3"/>
        <v>88.892780499808637</v>
      </c>
      <c r="M16" s="255" t="s">
        <v>318</v>
      </c>
    </row>
    <row r="17" spans="1:13" ht="63.75" customHeight="1" x14ac:dyDescent="0.25">
      <c r="A17" s="385">
        <v>292403</v>
      </c>
      <c r="B17" s="385">
        <v>200200</v>
      </c>
      <c r="C17" s="344" t="s">
        <v>828</v>
      </c>
      <c r="D17" s="240" t="s">
        <v>829</v>
      </c>
      <c r="E17" s="243" t="s">
        <v>830</v>
      </c>
      <c r="F17" s="244">
        <f>TAMS_Calendario!F23</f>
        <v>538068</v>
      </c>
      <c r="G17" s="244">
        <f t="shared" si="1"/>
        <v>44839</v>
      </c>
      <c r="H17" s="67">
        <f ca="1">TAMS_Calendario!T23</f>
        <v>403551.00000000006</v>
      </c>
      <c r="I17" s="67">
        <f>TAMS_Calendario!T24</f>
        <v>358226.64000000007</v>
      </c>
      <c r="J17" s="67">
        <f t="shared" ca="1" si="0"/>
        <v>45324.359999999986</v>
      </c>
      <c r="K17" s="67">
        <f t="shared" ca="1" si="2"/>
        <v>11.231383393920465</v>
      </c>
      <c r="L17" s="67">
        <f t="shared" ca="1" si="3"/>
        <v>88.768616606079533</v>
      </c>
      <c r="M17" s="255" t="s">
        <v>778</v>
      </c>
    </row>
    <row r="18" spans="1:13" ht="59.25" customHeight="1" x14ac:dyDescent="0.25">
      <c r="A18" s="385">
        <v>299101</v>
      </c>
      <c r="B18" s="385">
        <v>900110</v>
      </c>
      <c r="C18" s="449" t="s">
        <v>831</v>
      </c>
      <c r="D18" s="135" t="s">
        <v>832</v>
      </c>
      <c r="E18" s="385" t="s">
        <v>833</v>
      </c>
      <c r="F18" s="244">
        <f>TAMS_Calendario!F25</f>
        <v>1092147.1200000001</v>
      </c>
      <c r="G18" s="631">
        <f>F18/12</f>
        <v>91012.260000000009</v>
      </c>
      <c r="H18" s="250">
        <f ca="1">TAMS_Calendario!T25</f>
        <v>778947.12</v>
      </c>
      <c r="I18" s="250">
        <f>TAMS_Calendario!T26</f>
        <v>674548.94</v>
      </c>
      <c r="J18" s="250">
        <f t="shared" ca="1" si="0"/>
        <v>104398.18000000005</v>
      </c>
      <c r="K18" s="250">
        <f t="shared" ca="1" si="2"/>
        <v>13.402473328356365</v>
      </c>
      <c r="L18" s="250">
        <f t="shared" ca="1" si="3"/>
        <v>86.597526671643635</v>
      </c>
      <c r="M18" s="632" t="s">
        <v>93</v>
      </c>
    </row>
    <row r="19" spans="1:13" ht="58.5" customHeight="1" x14ac:dyDescent="0.25">
      <c r="A19" s="385">
        <v>299104</v>
      </c>
      <c r="B19" s="311">
        <v>900110</v>
      </c>
      <c r="C19" s="344" t="s">
        <v>834</v>
      </c>
      <c r="D19" s="240" t="s">
        <v>835</v>
      </c>
      <c r="E19" s="243" t="s">
        <v>190</v>
      </c>
      <c r="F19" s="244">
        <f>TAMS_Calendario!F27</f>
        <v>1231006.8500000001</v>
      </c>
      <c r="G19" s="244">
        <f t="shared" si="1"/>
        <v>102583.90416666667</v>
      </c>
      <c r="H19" s="67">
        <f ca="1">TAMS_Calendario!T27</f>
        <v>923236.85</v>
      </c>
      <c r="I19" s="67">
        <f>TAMS_Calendario!T28</f>
        <v>820699.90999999992</v>
      </c>
      <c r="J19" s="67">
        <f t="shared" ca="1" si="0"/>
        <v>102536.94000000006</v>
      </c>
      <c r="K19" s="67">
        <f t="shared" ca="1" si="2"/>
        <v>11.106244296899551</v>
      </c>
      <c r="L19" s="67">
        <f t="shared" ca="1" si="3"/>
        <v>88.893755703100453</v>
      </c>
      <c r="M19" s="255" t="s">
        <v>318</v>
      </c>
    </row>
    <row r="20" spans="1:13" ht="68.25" customHeight="1" x14ac:dyDescent="0.25">
      <c r="A20" s="385">
        <v>295903</v>
      </c>
      <c r="B20" s="385">
        <v>380200</v>
      </c>
      <c r="C20" s="344" t="s">
        <v>836</v>
      </c>
      <c r="D20" s="357" t="s">
        <v>840</v>
      </c>
      <c r="E20" s="376" t="s">
        <v>196</v>
      </c>
      <c r="F20" s="244">
        <f>TAMS_Calendario!F29</f>
        <v>737759.99999999988</v>
      </c>
      <c r="G20" s="541">
        <v>61400</v>
      </c>
      <c r="H20" s="125">
        <f ca="1">TAMS_Calendario!T29</f>
        <v>553319.99999999988</v>
      </c>
      <c r="I20" s="125">
        <f>TAMS_Calendario!T30</f>
        <v>553319.72999999986</v>
      </c>
      <c r="J20" s="125">
        <f t="shared" ca="1" si="0"/>
        <v>0.27000000001862645</v>
      </c>
      <c r="K20" s="125">
        <f t="shared" ca="1" si="2"/>
        <v>4.87963565420781E-5</v>
      </c>
      <c r="L20" s="125">
        <f t="shared" ca="1" si="3"/>
        <v>99.999951203643462</v>
      </c>
      <c r="M20" s="547" t="s">
        <v>778</v>
      </c>
    </row>
    <row r="21" spans="1:13" ht="42.75" customHeight="1" x14ac:dyDescent="0.25">
      <c r="A21" s="386">
        <v>298005</v>
      </c>
      <c r="B21" s="388">
        <v>920201</v>
      </c>
      <c r="C21" s="344" t="s">
        <v>836</v>
      </c>
      <c r="D21" s="240" t="s">
        <v>838</v>
      </c>
      <c r="E21" s="243" t="s">
        <v>210</v>
      </c>
      <c r="F21" s="244">
        <f>TAMS_Calendario!F31</f>
        <v>348035.64</v>
      </c>
      <c r="G21" s="244">
        <v>29002.959999999999</v>
      </c>
      <c r="H21" s="67">
        <f ca="1">TAMS_Calendario!T31</f>
        <v>261026.64000000004</v>
      </c>
      <c r="I21" s="67">
        <f>TAMS_Calendario!T32</f>
        <v>261017.55000000005</v>
      </c>
      <c r="J21" s="67">
        <f t="shared" ca="1" si="0"/>
        <v>9.0899999999965075</v>
      </c>
      <c r="K21" s="67">
        <f t="shared" ca="1" si="2"/>
        <v>3.4824031753986897E-3</v>
      </c>
      <c r="L21" s="67">
        <f t="shared" ca="1" si="3"/>
        <v>99.996517596824603</v>
      </c>
      <c r="M21" s="547" t="s">
        <v>778</v>
      </c>
    </row>
    <row r="22" spans="1:13" ht="50.25" customHeight="1" thickBot="1" x14ac:dyDescent="0.3">
      <c r="A22" s="386">
        <v>299001</v>
      </c>
      <c r="B22" s="388">
        <v>50100</v>
      </c>
      <c r="C22" s="344" t="s">
        <v>836</v>
      </c>
      <c r="D22" s="143" t="s">
        <v>839</v>
      </c>
      <c r="E22" s="187" t="s">
        <v>180</v>
      </c>
      <c r="F22" s="244">
        <f>TAMS_Calendario!F33</f>
        <v>120000.00000000001</v>
      </c>
      <c r="G22" s="546">
        <v>20000</v>
      </c>
      <c r="H22" s="68">
        <f ca="1">TAMS_Calendario!T33</f>
        <v>120000.00000000001</v>
      </c>
      <c r="I22" s="68">
        <f>TAMS_Calendario!T34</f>
        <v>119878.44000000002</v>
      </c>
      <c r="J22" s="68">
        <f t="shared" ca="1" si="0"/>
        <v>121.55999999999767</v>
      </c>
      <c r="K22" s="68">
        <f t="shared" ca="1" si="2"/>
        <v>0.10129999999999804</v>
      </c>
      <c r="L22" s="68">
        <f t="shared" ca="1" si="3"/>
        <v>99.898700000000005</v>
      </c>
      <c r="M22" s="261" t="s">
        <v>93</v>
      </c>
    </row>
    <row r="23" spans="1:13" ht="15.75" thickBot="1" x14ac:dyDescent="0.3">
      <c r="A23" s="4"/>
      <c r="B23" s="4">
        <v>10</v>
      </c>
      <c r="C23" s="24">
        <f>COUNT(#REF!)</f>
        <v>0</v>
      </c>
      <c r="D23" s="389"/>
      <c r="E23" s="6"/>
      <c r="F23" s="244">
        <f>SUM(F12:F22)</f>
        <v>4380423.49</v>
      </c>
      <c r="G23" s="32">
        <f>SUM(G12:G22)</f>
        <v>374955.28083333338</v>
      </c>
      <c r="H23" s="32">
        <f ca="1">SUM(H12:H22)</f>
        <v>3275146.6900000004</v>
      </c>
      <c r="I23" s="32">
        <f>SUM(I12:I22)</f>
        <v>2918919.93</v>
      </c>
      <c r="J23" s="32">
        <f t="shared" ca="1" si="0"/>
        <v>356226.76000000024</v>
      </c>
      <c r="K23" s="150">
        <f ca="1">+J23/H23*100</f>
        <v>10.876665802104888</v>
      </c>
      <c r="L23" s="151">
        <f ca="1">+I23/H23*100</f>
        <v>89.123334197895105</v>
      </c>
      <c r="M23" s="5"/>
    </row>
    <row r="24" spans="1:13" ht="31.5" customHeight="1" x14ac:dyDescent="0.25">
      <c r="F24" s="3"/>
      <c r="G24" s="3"/>
      <c r="H24" s="2"/>
      <c r="I24" s="2"/>
      <c r="J24" s="2"/>
      <c r="K24" s="2"/>
      <c r="L24" s="2"/>
      <c r="M24" s="857"/>
    </row>
    <row r="25" spans="1:13" ht="31.5" customHeight="1" x14ac:dyDescent="0.25">
      <c r="H25" s="2"/>
      <c r="I25" s="2"/>
      <c r="J25" s="2"/>
      <c r="K25" s="2"/>
      <c r="L25" s="2"/>
      <c r="M25" s="857"/>
    </row>
    <row r="26" spans="1:13" ht="31.5" customHeight="1" x14ac:dyDescent="0.25">
      <c r="I26" s="2"/>
    </row>
    <row r="27" spans="1:13" x14ac:dyDescent="0.25">
      <c r="I27" s="2"/>
    </row>
    <row r="28" spans="1:13" x14ac:dyDescent="0.25">
      <c r="I28" s="2"/>
    </row>
    <row r="29" spans="1:13" x14ac:dyDescent="0.25">
      <c r="I29" s="2"/>
    </row>
    <row r="30" spans="1:13" x14ac:dyDescent="0.25">
      <c r="I30" s="2"/>
    </row>
    <row r="31" spans="1:13" x14ac:dyDescent="0.25">
      <c r="I31" s="2"/>
    </row>
    <row r="32" spans="1:13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  <row r="36" spans="9:9" x14ac:dyDescent="0.25">
      <c r="I36" s="2"/>
    </row>
    <row r="37" spans="9:9" x14ac:dyDescent="0.25">
      <c r="I37" s="2"/>
    </row>
    <row r="38" spans="9:9" x14ac:dyDescent="0.25">
      <c r="I38" s="2"/>
    </row>
    <row r="39" spans="9:9" x14ac:dyDescent="0.25">
      <c r="I39" s="2"/>
    </row>
    <row r="40" spans="9:9" x14ac:dyDescent="0.25">
      <c r="I40" s="2"/>
    </row>
    <row r="41" spans="9:9" x14ac:dyDescent="0.25">
      <c r="I41" s="2"/>
    </row>
    <row r="42" spans="9:9" x14ac:dyDescent="0.25">
      <c r="I42" s="2"/>
    </row>
    <row r="43" spans="9:9" x14ac:dyDescent="0.25">
      <c r="I43" s="2"/>
    </row>
  </sheetData>
  <mergeCells count="12">
    <mergeCell ref="M10:M11"/>
    <mergeCell ref="M24:M25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0" fitToHeight="21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view="pageBreakPreview" zoomScale="80" zoomScaleNormal="100" zoomScaleSheetLayoutView="80" zoomScalePageLayoutView="80" workbookViewId="0">
      <pane xSplit="6" ySplit="12" topLeftCell="H26" activePane="bottomRight" state="frozen"/>
      <selection pane="topRight" activeCell="G1" sqref="G1"/>
      <selection pane="bottomLeft" activeCell="A12" sqref="A12"/>
      <selection pane="bottomRight" activeCell="L44" sqref="L44"/>
    </sheetView>
  </sheetViews>
  <sheetFormatPr baseColWidth="10" defaultRowHeight="15" x14ac:dyDescent="0.25"/>
  <cols>
    <col min="1" max="1" width="10.85546875" customWidth="1"/>
    <col min="2" max="2" width="8.42578125" customWidth="1"/>
    <col min="3" max="3" width="0.28515625" customWidth="1"/>
    <col min="4" max="4" width="25.28515625" customWidth="1"/>
    <col min="5" max="5" width="26.140625" style="1" customWidth="1"/>
    <col min="6" max="6" width="17.85546875" customWidth="1"/>
    <col min="7" max="7" width="15.7109375" customWidth="1"/>
    <col min="8" max="8" width="15.85546875" customWidth="1"/>
    <col min="9" max="9" width="16" customWidth="1"/>
    <col min="10" max="10" width="18.5703125" customWidth="1"/>
    <col min="11" max="11" width="17.140625" customWidth="1"/>
    <col min="12" max="12" width="17.5703125" customWidth="1"/>
    <col min="13" max="16" width="20.85546875" customWidth="1"/>
    <col min="17" max="17" width="21.5703125" customWidth="1"/>
    <col min="18" max="19" width="21" customWidth="1"/>
    <col min="20" max="20" width="18.28515625" customWidth="1"/>
    <col min="21" max="21" width="40.85546875" customWidth="1"/>
    <col min="22" max="22" width="2.14062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148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0.75" customHeight="1" thickTop="1" thickBot="1" x14ac:dyDescent="0.3">
      <c r="A13" s="751">
        <v>200222</v>
      </c>
      <c r="B13" s="381">
        <v>292417</v>
      </c>
      <c r="C13" s="344" t="s">
        <v>811</v>
      </c>
      <c r="D13" s="873" t="s">
        <v>812</v>
      </c>
      <c r="E13" s="873" t="s">
        <v>813</v>
      </c>
      <c r="F13" s="954">
        <f>SUM(I13:S13)</f>
        <v>65991.240000000005</v>
      </c>
      <c r="G13" s="629" t="s">
        <v>52</v>
      </c>
      <c r="H13" s="629"/>
      <c r="I13" s="629">
        <f t="shared" ref="I13:S13" si="0">VLOOKUP($A13&amp;$B13&amp;I$10,Base,8,FALSE)</f>
        <v>0</v>
      </c>
      <c r="J13" s="629">
        <f t="shared" si="0"/>
        <v>0</v>
      </c>
      <c r="K13" s="629">
        <f t="shared" si="0"/>
        <v>0</v>
      </c>
      <c r="L13" s="629">
        <f t="shared" si="0"/>
        <v>0</v>
      </c>
      <c r="M13" s="629">
        <f t="shared" si="0"/>
        <v>0</v>
      </c>
      <c r="N13" s="629">
        <f t="shared" si="0"/>
        <v>0</v>
      </c>
      <c r="O13" s="629">
        <f t="shared" si="0"/>
        <v>0</v>
      </c>
      <c r="P13" s="629">
        <f t="shared" si="0"/>
        <v>0</v>
      </c>
      <c r="Q13" s="629">
        <f t="shared" si="0"/>
        <v>49500</v>
      </c>
      <c r="R13" s="629">
        <f t="shared" si="0"/>
        <v>5500</v>
      </c>
      <c r="S13" s="629">
        <f t="shared" si="0"/>
        <v>10991.24</v>
      </c>
      <c r="T13" s="67">
        <f ca="1">SUM($H13:(OFFSET($H13,0,AVANCE060826!$T$2)))</f>
        <v>49500</v>
      </c>
      <c r="U13" s="903" t="s">
        <v>814</v>
      </c>
    </row>
    <row r="14" spans="1:21" ht="30.75" customHeight="1" thickTop="1" x14ac:dyDescent="0.25">
      <c r="A14" s="751">
        <v>200222</v>
      </c>
      <c r="B14" s="381">
        <v>292417</v>
      </c>
      <c r="C14" s="344"/>
      <c r="D14" s="873"/>
      <c r="E14" s="873"/>
      <c r="F14" s="954"/>
      <c r="G14" s="629" t="s">
        <v>53</v>
      </c>
      <c r="H14" s="749"/>
      <c r="I14" s="749">
        <f t="shared" ref="I14:S14" si="1">VLOOKUP($A14&amp;$B14&amp;I$10,Base,9,FALSE)</f>
        <v>0</v>
      </c>
      <c r="J14" s="749">
        <f t="shared" si="1"/>
        <v>0</v>
      </c>
      <c r="K14" s="749">
        <f t="shared" si="1"/>
        <v>0</v>
      </c>
      <c r="L14" s="749">
        <f t="shared" si="1"/>
        <v>0</v>
      </c>
      <c r="M14" s="749">
        <f t="shared" si="1"/>
        <v>0</v>
      </c>
      <c r="N14" s="749">
        <f t="shared" si="1"/>
        <v>0</v>
      </c>
      <c r="O14" s="749">
        <f t="shared" si="1"/>
        <v>0</v>
      </c>
      <c r="P14" s="749">
        <f t="shared" si="1"/>
        <v>0</v>
      </c>
      <c r="Q14" s="749">
        <f t="shared" si="1"/>
        <v>0</v>
      </c>
      <c r="R14" s="749">
        <f t="shared" si="1"/>
        <v>0</v>
      </c>
      <c r="S14" s="749">
        <f t="shared" si="1"/>
        <v>0</v>
      </c>
      <c r="T14" s="67">
        <f t="shared" ref="T14:T34" si="2">SUM(H14:S14)</f>
        <v>0</v>
      </c>
      <c r="U14" s="903"/>
    </row>
    <row r="15" spans="1:21" ht="30.75" customHeight="1" x14ac:dyDescent="0.25">
      <c r="A15" s="385">
        <v>200200</v>
      </c>
      <c r="B15" s="748">
        <v>292430</v>
      </c>
      <c r="C15" s="344" t="s">
        <v>815</v>
      </c>
      <c r="D15" s="873" t="s">
        <v>816</v>
      </c>
      <c r="E15" s="873" t="s">
        <v>817</v>
      </c>
      <c r="F15" s="954"/>
      <c r="G15" s="629" t="s">
        <v>52</v>
      </c>
      <c r="H15" s="629"/>
      <c r="I15" s="629"/>
      <c r="J15" s="629"/>
      <c r="K15" s="629"/>
      <c r="L15" s="629"/>
      <c r="M15" s="629"/>
      <c r="N15" s="629"/>
      <c r="O15" s="629"/>
      <c r="P15" s="629"/>
      <c r="Q15" s="629"/>
      <c r="R15" s="629"/>
      <c r="S15" s="629"/>
      <c r="T15" s="67">
        <f ca="1">SUM($H15:(OFFSET($H15,0,AVANCE060826!$T$2)))</f>
        <v>0</v>
      </c>
      <c r="U15" s="903" t="s">
        <v>814</v>
      </c>
    </row>
    <row r="16" spans="1:21" ht="30.75" customHeight="1" x14ac:dyDescent="0.25">
      <c r="A16" s="385">
        <v>200200</v>
      </c>
      <c r="B16" s="385">
        <v>292430</v>
      </c>
      <c r="C16" s="344"/>
      <c r="D16" s="873"/>
      <c r="E16" s="873"/>
      <c r="F16" s="954"/>
      <c r="G16" s="629" t="s">
        <v>53</v>
      </c>
      <c r="H16" s="629"/>
      <c r="I16" s="629"/>
      <c r="J16" s="629"/>
      <c r="K16" s="629"/>
      <c r="L16" s="629"/>
      <c r="M16" s="629"/>
      <c r="N16" s="629"/>
      <c r="O16" s="629"/>
      <c r="P16" s="629"/>
      <c r="Q16" s="629"/>
      <c r="R16" s="629"/>
      <c r="S16" s="629"/>
      <c r="T16" s="67">
        <f t="shared" si="2"/>
        <v>0</v>
      </c>
      <c r="U16" s="903"/>
    </row>
    <row r="17" spans="1:21" ht="30.75" customHeight="1" x14ac:dyDescent="0.25">
      <c r="A17" s="748">
        <v>200222</v>
      </c>
      <c r="B17" s="385">
        <v>292434</v>
      </c>
      <c r="C17" s="344" t="s">
        <v>818</v>
      </c>
      <c r="D17" s="873" t="s">
        <v>819</v>
      </c>
      <c r="E17" s="873" t="s">
        <v>820</v>
      </c>
      <c r="F17" s="954">
        <f>SUM(I17:S17)</f>
        <v>50571.360000000001</v>
      </c>
      <c r="G17" s="629" t="s">
        <v>52</v>
      </c>
      <c r="H17" s="629"/>
      <c r="I17" s="629">
        <f t="shared" ref="I17:S17" si="3">VLOOKUP($A17&amp;$B17&amp;I$10,Base,8,FALSE)</f>
        <v>0</v>
      </c>
      <c r="J17" s="629">
        <f t="shared" si="3"/>
        <v>0</v>
      </c>
      <c r="K17" s="629">
        <f t="shared" si="3"/>
        <v>0</v>
      </c>
      <c r="L17" s="629">
        <f t="shared" si="3"/>
        <v>0</v>
      </c>
      <c r="M17" s="629">
        <f t="shared" si="3"/>
        <v>0</v>
      </c>
      <c r="N17" s="629">
        <f t="shared" si="3"/>
        <v>0</v>
      </c>
      <c r="O17" s="629">
        <f t="shared" si="3"/>
        <v>0</v>
      </c>
      <c r="P17" s="629">
        <f t="shared" si="3"/>
        <v>0</v>
      </c>
      <c r="Q17" s="629">
        <f t="shared" si="3"/>
        <v>37935</v>
      </c>
      <c r="R17" s="629">
        <f t="shared" si="3"/>
        <v>4215</v>
      </c>
      <c r="S17" s="629">
        <f t="shared" si="3"/>
        <v>8421.36</v>
      </c>
      <c r="T17" s="67">
        <f ca="1">SUM($H17:(OFFSET($H17,0,AVANCE060826!$T$2)))</f>
        <v>37935</v>
      </c>
      <c r="U17" s="876" t="s">
        <v>317</v>
      </c>
    </row>
    <row r="18" spans="1:21" ht="30.75" customHeight="1" x14ac:dyDescent="0.25">
      <c r="A18" s="748">
        <v>200222</v>
      </c>
      <c r="B18" s="385">
        <v>292434</v>
      </c>
      <c r="C18" s="344"/>
      <c r="D18" s="873"/>
      <c r="E18" s="873"/>
      <c r="F18" s="954"/>
      <c r="G18" s="629" t="s">
        <v>53</v>
      </c>
      <c r="H18" s="749"/>
      <c r="I18" s="749">
        <f t="shared" ref="I18:S18" si="4">VLOOKUP($A18&amp;$B18&amp;I$10,Base,9,FALSE)</f>
        <v>0</v>
      </c>
      <c r="J18" s="749">
        <f t="shared" si="4"/>
        <v>0</v>
      </c>
      <c r="K18" s="749">
        <f t="shared" si="4"/>
        <v>0</v>
      </c>
      <c r="L18" s="749">
        <f t="shared" si="4"/>
        <v>0</v>
      </c>
      <c r="M18" s="749">
        <f t="shared" si="4"/>
        <v>0</v>
      </c>
      <c r="N18" s="749">
        <f t="shared" si="4"/>
        <v>0</v>
      </c>
      <c r="O18" s="749">
        <f t="shared" si="4"/>
        <v>0</v>
      </c>
      <c r="P18" s="749">
        <f t="shared" si="4"/>
        <v>0</v>
      </c>
      <c r="Q18" s="749">
        <f t="shared" si="4"/>
        <v>0</v>
      </c>
      <c r="R18" s="749">
        <f t="shared" si="4"/>
        <v>0</v>
      </c>
      <c r="S18" s="749">
        <f t="shared" si="4"/>
        <v>0</v>
      </c>
      <c r="T18" s="67">
        <f t="shared" si="2"/>
        <v>0</v>
      </c>
      <c r="U18" s="876"/>
    </row>
    <row r="19" spans="1:21" ht="30.75" customHeight="1" x14ac:dyDescent="0.25">
      <c r="A19" s="748">
        <v>200222</v>
      </c>
      <c r="B19" s="385">
        <v>292410</v>
      </c>
      <c r="C19" s="344" t="s">
        <v>821</v>
      </c>
      <c r="D19" s="873" t="s">
        <v>822</v>
      </c>
      <c r="E19" s="873" t="s">
        <v>823</v>
      </c>
      <c r="F19" s="954">
        <f>SUM(I19:S19)</f>
        <v>126184.79999999999</v>
      </c>
      <c r="G19" s="629" t="s">
        <v>52</v>
      </c>
      <c r="H19" s="629"/>
      <c r="I19" s="629">
        <f t="shared" ref="I19:S19" si="5">VLOOKUP($A19&amp;$B19&amp;I$10,Base,8,FALSE)</f>
        <v>0</v>
      </c>
      <c r="J19" s="629">
        <f t="shared" si="5"/>
        <v>0</v>
      </c>
      <c r="K19" s="629">
        <f t="shared" si="5"/>
        <v>0</v>
      </c>
      <c r="L19" s="629">
        <f t="shared" si="5"/>
        <v>0</v>
      </c>
      <c r="M19" s="629">
        <f t="shared" si="5"/>
        <v>0</v>
      </c>
      <c r="N19" s="629">
        <f t="shared" si="5"/>
        <v>63092.34</v>
      </c>
      <c r="O19" s="629">
        <f t="shared" si="5"/>
        <v>0</v>
      </c>
      <c r="P19" s="629">
        <f t="shared" si="5"/>
        <v>21030.78</v>
      </c>
      <c r="Q19" s="629">
        <f t="shared" si="5"/>
        <v>10515.48</v>
      </c>
      <c r="R19" s="629">
        <f t="shared" si="5"/>
        <v>10515.4</v>
      </c>
      <c r="S19" s="629">
        <f t="shared" si="5"/>
        <v>21030.799999999999</v>
      </c>
      <c r="T19" s="67">
        <f ca="1">SUM($H19:(OFFSET($H19,0,AVANCE060826!$T$2)))</f>
        <v>94638.599999999991</v>
      </c>
      <c r="U19" s="903" t="s">
        <v>824</v>
      </c>
    </row>
    <row r="20" spans="1:21" ht="30.75" customHeight="1" x14ac:dyDescent="0.25">
      <c r="A20" s="748">
        <v>200222</v>
      </c>
      <c r="B20" s="385">
        <v>292410</v>
      </c>
      <c r="C20" s="344"/>
      <c r="D20" s="873"/>
      <c r="E20" s="873"/>
      <c r="F20" s="954"/>
      <c r="G20" s="629" t="s">
        <v>53</v>
      </c>
      <c r="H20" s="749"/>
      <c r="I20" s="749">
        <f>VLOOKUP($A20&amp;$B20&amp;I$10,Base,9,FALSE)</f>
        <v>0</v>
      </c>
      <c r="J20" s="749">
        <f>VLOOKUP($A20&amp;$B20&amp;J$10,Base,9,FALSE)</f>
        <v>0</v>
      </c>
      <c r="K20" s="749"/>
      <c r="L20" s="749">
        <f>VLOOKUP($A20&amp;$B20&amp;L$10,Base,9,FALSE)</f>
        <v>0</v>
      </c>
      <c r="M20" s="749">
        <f>VLOOKUP($A20&amp;$B20&amp;M$10,Base,9,FALSE)</f>
        <v>0</v>
      </c>
      <c r="N20" s="749">
        <f>VLOOKUP($A20&amp;$B20&amp;N$10,Base,9,FALSE)</f>
        <v>63092.34</v>
      </c>
      <c r="O20" s="749">
        <f>VLOOKUP($A20&amp;$B20&amp;O$10,Base,9,FALSE)</f>
        <v>0</v>
      </c>
      <c r="P20" s="749">
        <f>VLOOKUP($A20&amp;$B20&amp;P$10,Base,9,FALSE)</f>
        <v>21030.78</v>
      </c>
      <c r="Q20" s="749"/>
      <c r="R20" s="749">
        <f>VLOOKUP($A20&amp;$B20&amp;R$10,Base,9,FALSE)</f>
        <v>0</v>
      </c>
      <c r="S20" s="749">
        <f>VLOOKUP($A20&amp;$B20&amp;S$10,Base,9,FALSE)</f>
        <v>0</v>
      </c>
      <c r="T20" s="67">
        <f t="shared" si="2"/>
        <v>84123.12</v>
      </c>
      <c r="U20" s="903"/>
    </row>
    <row r="21" spans="1:21" ht="30.75" customHeight="1" x14ac:dyDescent="0.25">
      <c r="A21" s="748">
        <v>200222</v>
      </c>
      <c r="B21" s="385">
        <v>292440</v>
      </c>
      <c r="C21" s="268" t="s">
        <v>825</v>
      </c>
      <c r="D21" s="873" t="s">
        <v>826</v>
      </c>
      <c r="E21" s="873" t="s">
        <v>827</v>
      </c>
      <c r="F21" s="954">
        <f>SUM(I21:S21)</f>
        <v>70658.48</v>
      </c>
      <c r="G21" s="629" t="s">
        <v>52</v>
      </c>
      <c r="H21" s="629"/>
      <c r="I21" s="629">
        <f t="shared" ref="I21:S21" si="6">VLOOKUP($A21&amp;$B21&amp;I$10,Base,8,FALSE)</f>
        <v>0</v>
      </c>
      <c r="J21" s="629">
        <f t="shared" si="6"/>
        <v>0</v>
      </c>
      <c r="K21" s="629">
        <f t="shared" si="6"/>
        <v>0</v>
      </c>
      <c r="L21" s="629">
        <f t="shared" si="6"/>
        <v>17664.599999999999</v>
      </c>
      <c r="M21" s="629">
        <f t="shared" si="6"/>
        <v>5888.2</v>
      </c>
      <c r="N21" s="629">
        <f t="shared" si="6"/>
        <v>5888.2</v>
      </c>
      <c r="O21" s="629">
        <f t="shared" si="6"/>
        <v>5888.2</v>
      </c>
      <c r="P21" s="629">
        <f t="shared" si="6"/>
        <v>5888.2</v>
      </c>
      <c r="Q21" s="629">
        <f t="shared" si="6"/>
        <v>11774.08</v>
      </c>
      <c r="R21" s="629">
        <f t="shared" si="6"/>
        <v>5889</v>
      </c>
      <c r="S21" s="629">
        <f t="shared" si="6"/>
        <v>11778</v>
      </c>
      <c r="T21" s="67">
        <f ca="1">SUM($H21:(OFFSET($H21,0,AVANCE060826!$T$2)))</f>
        <v>52991.479999999996</v>
      </c>
      <c r="U21" s="903" t="s">
        <v>814</v>
      </c>
    </row>
    <row r="22" spans="1:21" ht="30.75" customHeight="1" x14ac:dyDescent="0.25">
      <c r="A22" s="748">
        <v>200222</v>
      </c>
      <c r="B22" s="385">
        <v>292440</v>
      </c>
      <c r="C22" s="268"/>
      <c r="D22" s="873"/>
      <c r="E22" s="873"/>
      <c r="F22" s="954"/>
      <c r="G22" s="629" t="s">
        <v>53</v>
      </c>
      <c r="H22" s="749"/>
      <c r="I22" s="749">
        <f t="shared" ref="I22:S22" si="7">VLOOKUP($A22&amp;$B22&amp;I$10,Base,9,FALSE)</f>
        <v>0</v>
      </c>
      <c r="J22" s="749">
        <f t="shared" si="7"/>
        <v>0</v>
      </c>
      <c r="K22" s="749">
        <f t="shared" si="7"/>
        <v>0</v>
      </c>
      <c r="L22" s="749">
        <f t="shared" si="7"/>
        <v>17664.599999999999</v>
      </c>
      <c r="M22" s="749">
        <f t="shared" si="7"/>
        <v>5888.2</v>
      </c>
      <c r="N22" s="749">
        <f t="shared" si="7"/>
        <v>5888.2</v>
      </c>
      <c r="O22" s="749">
        <f t="shared" si="7"/>
        <v>5888.2</v>
      </c>
      <c r="P22" s="749">
        <f t="shared" si="7"/>
        <v>5888.2</v>
      </c>
      <c r="Q22" s="749">
        <f t="shared" si="7"/>
        <v>5888.2</v>
      </c>
      <c r="R22" s="749">
        <f t="shared" si="7"/>
        <v>0</v>
      </c>
      <c r="S22" s="749">
        <f t="shared" si="7"/>
        <v>0</v>
      </c>
      <c r="T22" s="67">
        <f t="shared" si="2"/>
        <v>47105.599999999991</v>
      </c>
      <c r="U22" s="903"/>
    </row>
    <row r="23" spans="1:21" ht="30.75" customHeight="1" x14ac:dyDescent="0.25">
      <c r="A23" s="385">
        <v>200222</v>
      </c>
      <c r="B23" s="385">
        <v>292403</v>
      </c>
      <c r="C23" s="344" t="s">
        <v>828</v>
      </c>
      <c r="D23" s="873" t="s">
        <v>829</v>
      </c>
      <c r="E23" s="873" t="s">
        <v>830</v>
      </c>
      <c r="F23" s="954">
        <f>SUM(I23:S23)</f>
        <v>538068</v>
      </c>
      <c r="G23" s="629" t="s">
        <v>52</v>
      </c>
      <c r="H23" s="629"/>
      <c r="I23" s="629">
        <f t="shared" ref="I23:S23" si="8">VLOOKUP($A23&amp;$B23&amp;I$10,Base,8,FALSE)</f>
        <v>0</v>
      </c>
      <c r="J23" s="629">
        <f t="shared" si="8"/>
        <v>0</v>
      </c>
      <c r="K23" s="629">
        <f t="shared" si="8"/>
        <v>0</v>
      </c>
      <c r="L23" s="629">
        <f t="shared" si="8"/>
        <v>179113.32</v>
      </c>
      <c r="M23" s="629">
        <f t="shared" si="8"/>
        <v>44778.33</v>
      </c>
      <c r="N23" s="629">
        <f t="shared" si="8"/>
        <v>44778.33</v>
      </c>
      <c r="O23" s="629">
        <f t="shared" si="8"/>
        <v>44778.33</v>
      </c>
      <c r="P23" s="629">
        <f t="shared" si="8"/>
        <v>44778.33</v>
      </c>
      <c r="Q23" s="629">
        <f t="shared" si="8"/>
        <v>45324.36</v>
      </c>
      <c r="R23" s="629">
        <f t="shared" si="8"/>
        <v>44839</v>
      </c>
      <c r="S23" s="629">
        <f t="shared" si="8"/>
        <v>89678</v>
      </c>
      <c r="T23" s="67">
        <f ca="1">SUM($H23:(OFFSET($H23,0,AVANCE060826!$T$2)))</f>
        <v>403551.00000000006</v>
      </c>
      <c r="U23" s="903" t="s">
        <v>814</v>
      </c>
    </row>
    <row r="24" spans="1:21" ht="30.75" customHeight="1" x14ac:dyDescent="0.25">
      <c r="A24" s="385">
        <v>200222</v>
      </c>
      <c r="B24" s="385">
        <v>292403</v>
      </c>
      <c r="C24" s="449"/>
      <c r="D24" s="873"/>
      <c r="E24" s="873"/>
      <c r="F24" s="954"/>
      <c r="G24" s="629" t="s">
        <v>53</v>
      </c>
      <c r="H24" s="629"/>
      <c r="I24" s="629">
        <f t="shared" ref="I24:S24" si="9">VLOOKUP($A24&amp;$B24&amp;I$10,Base,9,FALSE)</f>
        <v>0</v>
      </c>
      <c r="J24" s="629">
        <f t="shared" si="9"/>
        <v>0</v>
      </c>
      <c r="K24" s="629">
        <f t="shared" si="9"/>
        <v>0</v>
      </c>
      <c r="L24" s="629">
        <f t="shared" si="9"/>
        <v>179113.32</v>
      </c>
      <c r="M24" s="629">
        <f t="shared" si="9"/>
        <v>44778.33</v>
      </c>
      <c r="N24" s="629">
        <f t="shared" si="9"/>
        <v>44778.33</v>
      </c>
      <c r="O24" s="629">
        <f t="shared" si="9"/>
        <v>44778.33</v>
      </c>
      <c r="P24" s="629">
        <f t="shared" si="9"/>
        <v>44778.33</v>
      </c>
      <c r="Q24" s="629">
        <f t="shared" si="9"/>
        <v>0</v>
      </c>
      <c r="R24" s="629">
        <f t="shared" si="9"/>
        <v>0</v>
      </c>
      <c r="S24" s="629">
        <f t="shared" si="9"/>
        <v>0</v>
      </c>
      <c r="T24" s="67">
        <f t="shared" si="2"/>
        <v>358226.64000000007</v>
      </c>
      <c r="U24" s="903"/>
    </row>
    <row r="25" spans="1:21" ht="30.75" customHeight="1" x14ac:dyDescent="0.25">
      <c r="A25" s="385">
        <v>900110</v>
      </c>
      <c r="B25" s="385">
        <v>299101</v>
      </c>
      <c r="C25" s="449" t="s">
        <v>831</v>
      </c>
      <c r="D25" s="873" t="s">
        <v>832</v>
      </c>
      <c r="E25" s="873" t="s">
        <v>833</v>
      </c>
      <c r="F25" s="954">
        <f>SUM(I25:S25)</f>
        <v>1092147.1200000001</v>
      </c>
      <c r="G25" s="629" t="s">
        <v>52</v>
      </c>
      <c r="H25" s="629"/>
      <c r="I25" s="629">
        <f t="shared" ref="I25:S25" si="10">VLOOKUP($A25&amp;$B25&amp;I$10,Base,8,FALSE)</f>
        <v>0</v>
      </c>
      <c r="J25" s="629">
        <f t="shared" si="10"/>
        <v>0</v>
      </c>
      <c r="K25" s="629">
        <f t="shared" si="10"/>
        <v>0</v>
      </c>
      <c r="L25" s="629">
        <f t="shared" si="10"/>
        <v>0</v>
      </c>
      <c r="M25" s="629">
        <f t="shared" si="10"/>
        <v>256949.14</v>
      </c>
      <c r="N25" s="629">
        <f t="shared" si="10"/>
        <v>104399.95</v>
      </c>
      <c r="O25" s="629">
        <f t="shared" si="10"/>
        <v>104399.95</v>
      </c>
      <c r="P25" s="629">
        <f t="shared" si="10"/>
        <v>104399.95</v>
      </c>
      <c r="Q25" s="629">
        <f t="shared" si="10"/>
        <v>208798.13</v>
      </c>
      <c r="R25" s="629">
        <f t="shared" si="10"/>
        <v>104400</v>
      </c>
      <c r="S25" s="629">
        <f t="shared" si="10"/>
        <v>208800</v>
      </c>
      <c r="T25" s="67">
        <f ca="1">SUM($H25:(OFFSET($H25,0,AVANCE060826!$T$2)))</f>
        <v>778947.12</v>
      </c>
      <c r="U25" s="903" t="s">
        <v>824</v>
      </c>
    </row>
    <row r="26" spans="1:21" ht="30.75" customHeight="1" x14ac:dyDescent="0.25">
      <c r="A26" s="385">
        <v>900110</v>
      </c>
      <c r="B26" s="385">
        <v>299101</v>
      </c>
      <c r="C26" s="449"/>
      <c r="D26" s="873"/>
      <c r="E26" s="873"/>
      <c r="F26" s="954"/>
      <c r="G26" s="629" t="s">
        <v>53</v>
      </c>
      <c r="H26" s="629"/>
      <c r="I26" s="629">
        <f t="shared" ref="I26:S26" si="11">VLOOKUP($A26&amp;$B26&amp;I$10,Base,9,FALSE)</f>
        <v>0</v>
      </c>
      <c r="J26" s="629">
        <f t="shared" si="11"/>
        <v>0</v>
      </c>
      <c r="K26" s="629">
        <f t="shared" si="11"/>
        <v>0</v>
      </c>
      <c r="L26" s="629">
        <f t="shared" si="11"/>
        <v>0</v>
      </c>
      <c r="M26" s="629">
        <f t="shared" si="11"/>
        <v>256949.14</v>
      </c>
      <c r="N26" s="629">
        <f t="shared" si="11"/>
        <v>104399.95</v>
      </c>
      <c r="O26" s="629">
        <f t="shared" si="11"/>
        <v>104399.95</v>
      </c>
      <c r="P26" s="629">
        <f t="shared" si="11"/>
        <v>104399.95</v>
      </c>
      <c r="Q26" s="629">
        <f t="shared" si="11"/>
        <v>104399.95</v>
      </c>
      <c r="R26" s="629">
        <f t="shared" si="11"/>
        <v>0</v>
      </c>
      <c r="S26" s="629">
        <f t="shared" si="11"/>
        <v>0</v>
      </c>
      <c r="T26" s="67">
        <f t="shared" si="2"/>
        <v>674548.94</v>
      </c>
      <c r="U26" s="903"/>
    </row>
    <row r="27" spans="1:21" ht="30.75" customHeight="1" x14ac:dyDescent="0.25">
      <c r="A27" s="311">
        <v>900110</v>
      </c>
      <c r="B27" s="385">
        <v>299104</v>
      </c>
      <c r="C27" s="344" t="s">
        <v>834</v>
      </c>
      <c r="D27" s="873" t="s">
        <v>835</v>
      </c>
      <c r="E27" s="873" t="s">
        <v>190</v>
      </c>
      <c r="F27" s="954">
        <f>SUM(I27:S27)</f>
        <v>1231006.8500000001</v>
      </c>
      <c r="G27" s="629" t="s">
        <v>52</v>
      </c>
      <c r="H27" s="629"/>
      <c r="I27" s="629">
        <f t="shared" ref="I27:S27" si="12">VLOOKUP($A27&amp;$B27&amp;I$10,Base,8,FALSE)</f>
        <v>0</v>
      </c>
      <c r="J27" s="629">
        <f t="shared" si="12"/>
        <v>0</v>
      </c>
      <c r="K27" s="629">
        <f t="shared" si="12"/>
        <v>0</v>
      </c>
      <c r="L27" s="629">
        <f t="shared" si="12"/>
        <v>102589.64</v>
      </c>
      <c r="M27" s="629">
        <f t="shared" si="12"/>
        <v>307768.92</v>
      </c>
      <c r="N27" s="629">
        <f t="shared" si="12"/>
        <v>102589.64</v>
      </c>
      <c r="O27" s="629">
        <f t="shared" si="12"/>
        <v>102583.93</v>
      </c>
      <c r="P27" s="629">
        <f t="shared" si="12"/>
        <v>102583.85</v>
      </c>
      <c r="Q27" s="629">
        <f t="shared" si="12"/>
        <v>205120.87</v>
      </c>
      <c r="R27" s="629">
        <f t="shared" si="12"/>
        <v>102590</v>
      </c>
      <c r="S27" s="629">
        <f t="shared" si="12"/>
        <v>205180</v>
      </c>
      <c r="T27" s="67">
        <f ca="1">SUM($H27:(OFFSET($H27,0,AVANCE060826!$T$2)))</f>
        <v>923236.85</v>
      </c>
      <c r="U27" s="903" t="s">
        <v>814</v>
      </c>
    </row>
    <row r="28" spans="1:21" ht="30.75" customHeight="1" x14ac:dyDescent="0.25">
      <c r="A28" s="311">
        <v>900110</v>
      </c>
      <c r="B28" s="385">
        <v>299104</v>
      </c>
      <c r="C28" s="344"/>
      <c r="D28" s="873"/>
      <c r="E28" s="873"/>
      <c r="F28" s="954"/>
      <c r="G28" s="629" t="s">
        <v>53</v>
      </c>
      <c r="H28" s="629"/>
      <c r="I28" s="629">
        <f t="shared" ref="I28:S28" si="13">VLOOKUP($A28&amp;$B28&amp;I$10,Base,9,FALSE)</f>
        <v>0</v>
      </c>
      <c r="J28" s="629">
        <f t="shared" si="13"/>
        <v>0</v>
      </c>
      <c r="K28" s="629">
        <f t="shared" si="13"/>
        <v>0</v>
      </c>
      <c r="L28" s="629">
        <f t="shared" si="13"/>
        <v>102589.64</v>
      </c>
      <c r="M28" s="629">
        <f t="shared" si="13"/>
        <v>307768.92</v>
      </c>
      <c r="N28" s="629">
        <f t="shared" si="13"/>
        <v>102589.64</v>
      </c>
      <c r="O28" s="629">
        <f t="shared" si="13"/>
        <v>102583.93</v>
      </c>
      <c r="P28" s="629">
        <f t="shared" si="13"/>
        <v>102583.85</v>
      </c>
      <c r="Q28" s="629">
        <f t="shared" si="13"/>
        <v>102583.93</v>
      </c>
      <c r="R28" s="629">
        <f t="shared" si="13"/>
        <v>0</v>
      </c>
      <c r="S28" s="629">
        <f t="shared" si="13"/>
        <v>0</v>
      </c>
      <c r="T28" s="67">
        <f t="shared" si="2"/>
        <v>820699.90999999992</v>
      </c>
      <c r="U28" s="903"/>
    </row>
    <row r="29" spans="1:21" ht="30.75" customHeight="1" x14ac:dyDescent="0.25">
      <c r="A29" s="385">
        <v>380200</v>
      </c>
      <c r="B29" s="385">
        <v>295903</v>
      </c>
      <c r="C29" s="344" t="s">
        <v>836</v>
      </c>
      <c r="D29" s="873" t="s">
        <v>837</v>
      </c>
      <c r="E29" s="873" t="s">
        <v>196</v>
      </c>
      <c r="F29" s="954">
        <f>SUM(I29:S29)</f>
        <v>737759.99999999988</v>
      </c>
      <c r="G29" s="629" t="s">
        <v>52</v>
      </c>
      <c r="H29" s="629"/>
      <c r="I29" s="629">
        <f t="shared" ref="I29:S29" si="14">VLOOKUP($A29&amp;$B29&amp;I$10,Base,8,FALSE)</f>
        <v>0</v>
      </c>
      <c r="J29" s="629">
        <f t="shared" si="14"/>
        <v>0</v>
      </c>
      <c r="K29" s="629">
        <f t="shared" si="14"/>
        <v>0</v>
      </c>
      <c r="L29" s="629">
        <f t="shared" si="14"/>
        <v>245919.88</v>
      </c>
      <c r="M29" s="629">
        <f t="shared" si="14"/>
        <v>61479.97</v>
      </c>
      <c r="N29" s="629">
        <f t="shared" si="14"/>
        <v>61479.97</v>
      </c>
      <c r="O29" s="629">
        <f t="shared" si="14"/>
        <v>61479.97</v>
      </c>
      <c r="P29" s="629">
        <f t="shared" si="14"/>
        <v>61479.97</v>
      </c>
      <c r="Q29" s="629">
        <f t="shared" si="14"/>
        <v>61480.24</v>
      </c>
      <c r="R29" s="629">
        <f t="shared" si="14"/>
        <v>61480</v>
      </c>
      <c r="S29" s="629">
        <f t="shared" si="14"/>
        <v>122960</v>
      </c>
      <c r="T29" s="67">
        <f ca="1">SUM($H29:(OFFSET($H29,0,AVANCE060826!$T$2)))</f>
        <v>553319.99999999988</v>
      </c>
      <c r="U29" s="903" t="s">
        <v>814</v>
      </c>
    </row>
    <row r="30" spans="1:21" ht="40.5" customHeight="1" x14ac:dyDescent="0.25">
      <c r="A30" s="385">
        <v>380200</v>
      </c>
      <c r="B30" s="385">
        <v>295903</v>
      </c>
      <c r="C30" s="344"/>
      <c r="D30" s="873"/>
      <c r="E30" s="873"/>
      <c r="F30" s="954"/>
      <c r="G30" s="629" t="s">
        <v>53</v>
      </c>
      <c r="H30" s="629"/>
      <c r="I30" s="629">
        <f t="shared" ref="I30:S30" si="15">VLOOKUP($A30&amp;$B30&amp;I$10,Base,9,FALSE)</f>
        <v>0</v>
      </c>
      <c r="J30" s="629">
        <f t="shared" si="15"/>
        <v>0</v>
      </c>
      <c r="K30" s="629">
        <f t="shared" si="15"/>
        <v>0</v>
      </c>
      <c r="L30" s="629">
        <f t="shared" si="15"/>
        <v>245919.88</v>
      </c>
      <c r="M30" s="629">
        <f t="shared" si="15"/>
        <v>61479.97</v>
      </c>
      <c r="N30" s="629">
        <f t="shared" si="15"/>
        <v>61479.97</v>
      </c>
      <c r="O30" s="629">
        <f t="shared" si="15"/>
        <v>61479.97</v>
      </c>
      <c r="P30" s="629">
        <f t="shared" si="15"/>
        <v>61479.97</v>
      </c>
      <c r="Q30" s="629">
        <f t="shared" si="15"/>
        <v>61479.97</v>
      </c>
      <c r="R30" s="629">
        <f t="shared" si="15"/>
        <v>0</v>
      </c>
      <c r="S30" s="629">
        <f t="shared" si="15"/>
        <v>0</v>
      </c>
      <c r="T30" s="67">
        <f t="shared" si="2"/>
        <v>553319.72999999986</v>
      </c>
      <c r="U30" s="903"/>
    </row>
    <row r="31" spans="1:21" ht="30.75" customHeight="1" x14ac:dyDescent="0.25">
      <c r="A31" s="388">
        <v>920201</v>
      </c>
      <c r="B31" s="386">
        <v>298005</v>
      </c>
      <c r="C31" s="344" t="s">
        <v>836</v>
      </c>
      <c r="D31" s="873" t="s">
        <v>838</v>
      </c>
      <c r="E31" s="873" t="s">
        <v>210</v>
      </c>
      <c r="F31" s="954">
        <f>SUM(I31:S31)</f>
        <v>348035.64</v>
      </c>
      <c r="G31" s="629" t="s">
        <v>52</v>
      </c>
      <c r="H31" s="629"/>
      <c r="I31" s="629">
        <f t="shared" ref="I31:S31" si="16">VLOOKUP($A31&amp;$B31&amp;I$10,Base,8,FALSE)</f>
        <v>0</v>
      </c>
      <c r="J31" s="629">
        <f t="shared" si="16"/>
        <v>0</v>
      </c>
      <c r="K31" s="629">
        <f t="shared" si="16"/>
        <v>0</v>
      </c>
      <c r="L31" s="629">
        <f t="shared" si="16"/>
        <v>116007.8</v>
      </c>
      <c r="M31" s="629">
        <f t="shared" si="16"/>
        <v>29001.95</v>
      </c>
      <c r="N31" s="629">
        <f t="shared" si="16"/>
        <v>29001.95</v>
      </c>
      <c r="O31" s="629">
        <f t="shared" si="16"/>
        <v>29001.95</v>
      </c>
      <c r="P31" s="629">
        <f t="shared" si="16"/>
        <v>29001.95</v>
      </c>
      <c r="Q31" s="629">
        <f t="shared" si="16"/>
        <v>29011.040000000001</v>
      </c>
      <c r="R31" s="629">
        <f t="shared" si="16"/>
        <v>29003</v>
      </c>
      <c r="S31" s="629">
        <f t="shared" si="16"/>
        <v>58006</v>
      </c>
      <c r="T31" s="67">
        <f ca="1">SUM($H31:(OFFSET($H31,0,AVANCE060826!$T$2)))</f>
        <v>261026.64000000004</v>
      </c>
      <c r="U31" s="903" t="s">
        <v>814</v>
      </c>
    </row>
    <row r="32" spans="1:21" ht="30.75" customHeight="1" x14ac:dyDescent="0.25">
      <c r="A32" s="388">
        <v>920201</v>
      </c>
      <c r="B32" s="386">
        <v>298005</v>
      </c>
      <c r="C32" s="460"/>
      <c r="D32" s="873"/>
      <c r="E32" s="873"/>
      <c r="F32" s="954"/>
      <c r="G32" s="629" t="s">
        <v>53</v>
      </c>
      <c r="H32" s="629"/>
      <c r="I32" s="629">
        <f t="shared" ref="I32:S32" si="17">VLOOKUP($A32&amp;$B32&amp;I$10,Base,9,FALSE)</f>
        <v>0</v>
      </c>
      <c r="J32" s="629">
        <f t="shared" si="17"/>
        <v>0</v>
      </c>
      <c r="K32" s="629">
        <f t="shared" si="17"/>
        <v>0</v>
      </c>
      <c r="L32" s="629">
        <f t="shared" si="17"/>
        <v>116007.8</v>
      </c>
      <c r="M32" s="629">
        <f t="shared" si="17"/>
        <v>29001.95</v>
      </c>
      <c r="N32" s="629">
        <f t="shared" si="17"/>
        <v>29001.95</v>
      </c>
      <c r="O32" s="629">
        <f t="shared" si="17"/>
        <v>29001.95</v>
      </c>
      <c r="P32" s="629">
        <f t="shared" si="17"/>
        <v>29001.95</v>
      </c>
      <c r="Q32" s="629">
        <f t="shared" si="17"/>
        <v>29001.95</v>
      </c>
      <c r="R32" s="629">
        <f t="shared" si="17"/>
        <v>0</v>
      </c>
      <c r="S32" s="629">
        <f t="shared" si="17"/>
        <v>0</v>
      </c>
      <c r="T32" s="67">
        <f>SUM(H32:S32)</f>
        <v>261017.55000000005</v>
      </c>
      <c r="U32" s="903"/>
    </row>
    <row r="33" spans="1:21" ht="30.75" customHeight="1" x14ac:dyDescent="0.25">
      <c r="A33" s="388">
        <v>50100</v>
      </c>
      <c r="B33" s="386">
        <v>299001</v>
      </c>
      <c r="C33" s="344" t="s">
        <v>836</v>
      </c>
      <c r="D33" s="873" t="s">
        <v>839</v>
      </c>
      <c r="E33" s="873" t="s">
        <v>603</v>
      </c>
      <c r="F33" s="954">
        <f>SUM(I33:S33)</f>
        <v>120000.00000000001</v>
      </c>
      <c r="G33" s="629" t="s">
        <v>52</v>
      </c>
      <c r="H33" s="629"/>
      <c r="I33" s="629">
        <f t="shared" ref="I33:S33" si="18">VLOOKUP($A33&amp;$B33&amp;I$10,Base,8,FALSE)</f>
        <v>0</v>
      </c>
      <c r="J33" s="629">
        <f t="shared" si="18"/>
        <v>0</v>
      </c>
      <c r="K33" s="629">
        <f t="shared" si="18"/>
        <v>0</v>
      </c>
      <c r="L33" s="629">
        <f t="shared" si="18"/>
        <v>79918.960000000006</v>
      </c>
      <c r="M33" s="629">
        <f t="shared" si="18"/>
        <v>19979.740000000002</v>
      </c>
      <c r="N33" s="629">
        <f t="shared" si="18"/>
        <v>19979.740000000002</v>
      </c>
      <c r="O33" s="629">
        <f t="shared" si="18"/>
        <v>0</v>
      </c>
      <c r="P33" s="629">
        <f t="shared" si="18"/>
        <v>0</v>
      </c>
      <c r="Q33" s="629">
        <f t="shared" si="18"/>
        <v>121.56</v>
      </c>
      <c r="R33" s="629">
        <f t="shared" si="18"/>
        <v>0</v>
      </c>
      <c r="S33" s="629">
        <f t="shared" si="18"/>
        <v>0</v>
      </c>
      <c r="T33" s="67">
        <f ca="1">SUM($H33:(OFFSET($H33,0,AVANCE060826!$T$2)))</f>
        <v>120000.00000000001</v>
      </c>
      <c r="U33" s="903" t="s">
        <v>814</v>
      </c>
    </row>
    <row r="34" spans="1:21" ht="30.75" customHeight="1" x14ac:dyDescent="0.25">
      <c r="A34" s="388">
        <v>50100</v>
      </c>
      <c r="B34" s="386">
        <v>299001</v>
      </c>
      <c r="C34" s="460"/>
      <c r="D34" s="873"/>
      <c r="E34" s="873"/>
      <c r="F34" s="954"/>
      <c r="G34" s="629" t="s">
        <v>53</v>
      </c>
      <c r="H34" s="629"/>
      <c r="I34" s="629">
        <f t="shared" ref="I34:S34" si="19">VLOOKUP($A34&amp;$B34&amp;I$10,Base,9,FALSE)</f>
        <v>0</v>
      </c>
      <c r="J34" s="629">
        <f t="shared" si="19"/>
        <v>0</v>
      </c>
      <c r="K34" s="629">
        <f t="shared" si="19"/>
        <v>0</v>
      </c>
      <c r="L34" s="629">
        <f t="shared" si="19"/>
        <v>79918.960000000006</v>
      </c>
      <c r="M34" s="629">
        <f t="shared" si="19"/>
        <v>19979.740000000002</v>
      </c>
      <c r="N34" s="629">
        <f t="shared" si="19"/>
        <v>19979.740000000002</v>
      </c>
      <c r="O34" s="629">
        <f t="shared" si="19"/>
        <v>0</v>
      </c>
      <c r="P34" s="629">
        <f t="shared" si="19"/>
        <v>0</v>
      </c>
      <c r="Q34" s="629">
        <f t="shared" si="19"/>
        <v>0</v>
      </c>
      <c r="R34" s="629">
        <f t="shared" si="19"/>
        <v>0</v>
      </c>
      <c r="S34" s="629">
        <f t="shared" si="19"/>
        <v>0</v>
      </c>
      <c r="T34" s="67">
        <f t="shared" si="2"/>
        <v>119878.44000000002</v>
      </c>
      <c r="U34" s="903"/>
    </row>
    <row r="35" spans="1:21" ht="15.75" thickBot="1" x14ac:dyDescent="0.3">
      <c r="A35" s="4">
        <v>10</v>
      </c>
      <c r="B35" s="4"/>
      <c r="C35" s="24">
        <f>COUNT(#REF!)</f>
        <v>0</v>
      </c>
      <c r="D35" s="7"/>
      <c r="E35" s="6"/>
      <c r="F35" s="32">
        <f>SUM(F13:F33)</f>
        <v>4380423.49</v>
      </c>
      <c r="G35" s="630" t="s">
        <v>52</v>
      </c>
      <c r="H35" s="276">
        <f t="shared" ref="H35:S36" si="20">+H33+H29+H27+H25+H23+H21+H19+H17+H15+H13+H31</f>
        <v>0</v>
      </c>
      <c r="I35" s="276">
        <f t="shared" si="20"/>
        <v>0</v>
      </c>
      <c r="J35" s="276">
        <f t="shared" si="20"/>
        <v>0</v>
      </c>
      <c r="K35" s="276">
        <f t="shared" si="20"/>
        <v>0</v>
      </c>
      <c r="L35" s="276">
        <f t="shared" si="20"/>
        <v>741214.20000000007</v>
      </c>
      <c r="M35" s="276">
        <f t="shared" si="20"/>
        <v>725846.24999999988</v>
      </c>
      <c r="N35" s="276">
        <f t="shared" si="20"/>
        <v>431210.12000000005</v>
      </c>
      <c r="O35" s="276">
        <f t="shared" si="20"/>
        <v>348132.33</v>
      </c>
      <c r="P35" s="276"/>
      <c r="Q35" s="276"/>
      <c r="R35" s="276"/>
      <c r="S35" s="276"/>
      <c r="T35" s="276">
        <f ca="1">+T33+T29+T27+T25+T23+T21+T19+T17+T15+T13+T31</f>
        <v>3275146.69</v>
      </c>
      <c r="U35" s="5"/>
    </row>
    <row r="36" spans="1:21" ht="31.5" customHeight="1" x14ac:dyDescent="0.25">
      <c r="F36" s="3"/>
      <c r="G36" s="629" t="s">
        <v>53</v>
      </c>
      <c r="H36" s="186"/>
      <c r="I36" s="186">
        <f>+I34+I30+I28+I26+I24+I22+I20+I18+I16+I14+I32</f>
        <v>0</v>
      </c>
      <c r="J36" s="186">
        <f t="shared" si="20"/>
        <v>0</v>
      </c>
      <c r="K36" s="186">
        <f t="shared" si="20"/>
        <v>0</v>
      </c>
      <c r="L36" s="186">
        <f t="shared" si="20"/>
        <v>741214.20000000007</v>
      </c>
      <c r="M36" s="186">
        <f t="shared" si="20"/>
        <v>725846.24999999988</v>
      </c>
      <c r="N36" s="186">
        <f t="shared" si="20"/>
        <v>431210.12000000005</v>
      </c>
      <c r="O36" s="186">
        <f t="shared" si="20"/>
        <v>348132.33</v>
      </c>
      <c r="P36" s="186">
        <f t="shared" si="20"/>
        <v>369163.03000000009</v>
      </c>
      <c r="Q36" s="186">
        <f t="shared" si="20"/>
        <v>303354</v>
      </c>
      <c r="R36" s="186">
        <f t="shared" si="20"/>
        <v>0</v>
      </c>
      <c r="S36" s="186">
        <f t="shared" si="20"/>
        <v>0</v>
      </c>
      <c r="T36" s="67">
        <f>SUM(H36:S36)</f>
        <v>2918919.93</v>
      </c>
      <c r="U36" s="857"/>
    </row>
    <row r="37" spans="1:21" ht="31.5" customHeight="1" x14ac:dyDescent="0.25">
      <c r="T37" s="2"/>
      <c r="U37" s="857"/>
    </row>
    <row r="38" spans="1:21" ht="31.5" customHeight="1" x14ac:dyDescent="0.25">
      <c r="L38" s="771">
        <v>741214.20000000007</v>
      </c>
      <c r="M38" s="771">
        <v>725846.25</v>
      </c>
      <c r="N38" s="771">
        <v>431210.12000000005</v>
      </c>
      <c r="O38" s="771">
        <v>348132.33</v>
      </c>
    </row>
  </sheetData>
  <autoFilter ref="B12:B36"/>
  <mergeCells count="65"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  <mergeCell ref="D13:D14"/>
    <mergeCell ref="E13:E14"/>
    <mergeCell ref="F13:F14"/>
    <mergeCell ref="U13:U14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U15:U16"/>
    <mergeCell ref="D17:D18"/>
    <mergeCell ref="E17:E18"/>
    <mergeCell ref="F17:F18"/>
    <mergeCell ref="U17:U18"/>
    <mergeCell ref="D15:D16"/>
    <mergeCell ref="E15:E16"/>
    <mergeCell ref="F15:F16"/>
    <mergeCell ref="U19:U20"/>
    <mergeCell ref="D21:D22"/>
    <mergeCell ref="E21:E22"/>
    <mergeCell ref="F21:F22"/>
    <mergeCell ref="U21:U22"/>
    <mergeCell ref="D19:D20"/>
    <mergeCell ref="E19:E20"/>
    <mergeCell ref="F19:F20"/>
    <mergeCell ref="U23:U24"/>
    <mergeCell ref="D25:D26"/>
    <mergeCell ref="E25:E26"/>
    <mergeCell ref="F25:F26"/>
    <mergeCell ref="U25:U26"/>
    <mergeCell ref="D23:D24"/>
    <mergeCell ref="E23:E24"/>
    <mergeCell ref="F23:F24"/>
    <mergeCell ref="U27:U28"/>
    <mergeCell ref="D29:D30"/>
    <mergeCell ref="E29:E30"/>
    <mergeCell ref="F29:F30"/>
    <mergeCell ref="U29:U30"/>
    <mergeCell ref="D27:D28"/>
    <mergeCell ref="E27:E28"/>
    <mergeCell ref="F27:F28"/>
    <mergeCell ref="U36:U37"/>
    <mergeCell ref="U31:U32"/>
    <mergeCell ref="D33:D34"/>
    <mergeCell ref="E33:E34"/>
    <mergeCell ref="F33:F34"/>
    <mergeCell ref="U33:U34"/>
    <mergeCell ref="D31:D32"/>
    <mergeCell ref="E31:E32"/>
    <mergeCell ref="F31:F3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49" fitToHeight="21" orientation="landscape" r:id="rId1"/>
  <ignoredErrors>
    <ignoredError sqref="Q20 K20 T15:T33" formula="1"/>
  </ignoredError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Normal="100" zoomScaleSheetLayoutView="85" zoomScalePageLayoutView="80" workbookViewId="0">
      <pane xSplit="1" topLeftCell="D1" activePane="topRight" state="frozen"/>
      <selection pane="topRight" activeCell="N12" sqref="N12:N13"/>
    </sheetView>
  </sheetViews>
  <sheetFormatPr baseColWidth="10" defaultRowHeight="15" x14ac:dyDescent="0.25"/>
  <cols>
    <col min="1" max="1" width="8.42578125" style="306" customWidth="1"/>
    <col min="2" max="2" width="9.42578125" style="306" customWidth="1"/>
    <col min="3" max="3" width="0.28515625" style="306" customWidth="1"/>
    <col min="4" max="4" width="21.5703125" style="306" customWidth="1"/>
    <col min="5" max="5" width="27.28515625" style="586" customWidth="1"/>
    <col min="6" max="7" width="15" customWidth="1"/>
    <col min="8" max="8" width="19.140625" customWidth="1"/>
    <col min="9" max="9" width="16.7109375" style="192" customWidth="1"/>
    <col min="10" max="10" width="13" customWidth="1"/>
    <col min="11" max="11" width="11.7109375" hidden="1" customWidth="1"/>
    <col min="12" max="12" width="10.28515625" hidden="1" customWidth="1"/>
    <col min="13" max="13" width="37" customWidth="1"/>
    <col min="14" max="14" width="5" customWidth="1"/>
    <col min="15" max="15" width="28" customWidth="1"/>
    <col min="16" max="16365" width="11.42578125" customWidth="1"/>
  </cols>
  <sheetData>
    <row r="1" spans="1:13" x14ac:dyDescent="0.25">
      <c r="D1" s="587" t="s">
        <v>25</v>
      </c>
      <c r="M1" s="11"/>
    </row>
    <row r="2" spans="1:13" x14ac:dyDescent="0.25">
      <c r="D2" s="587" t="s">
        <v>24</v>
      </c>
    </row>
    <row r="3" spans="1:13" x14ac:dyDescent="0.25">
      <c r="D3" s="587" t="s">
        <v>23</v>
      </c>
    </row>
    <row r="4" spans="1:13" x14ac:dyDescent="0.25">
      <c r="D4" s="587" t="s">
        <v>22</v>
      </c>
      <c r="K4" s="9"/>
      <c r="L4" s="9"/>
    </row>
    <row r="5" spans="1:13" x14ac:dyDescent="0.25">
      <c r="D5" s="587" t="s">
        <v>21</v>
      </c>
    </row>
    <row r="6" spans="1:13" ht="20.25" x14ac:dyDescent="0.3">
      <c r="D6" s="589" t="s">
        <v>20</v>
      </c>
      <c r="E6" s="588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x14ac:dyDescent="0.25">
      <c r="D8" s="590" t="s">
        <v>31</v>
      </c>
      <c r="E8" s="587" t="s">
        <v>149</v>
      </c>
      <c r="H8" s="9"/>
    </row>
    <row r="9" spans="1:13" ht="15.75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1002" t="s">
        <v>15</v>
      </c>
      <c r="F10" s="836" t="s">
        <v>26</v>
      </c>
      <c r="G10" s="837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1003"/>
      <c r="F11" s="893"/>
      <c r="G11" s="838"/>
      <c r="H11" s="58" t="s">
        <v>91</v>
      </c>
      <c r="I11" s="570" t="s">
        <v>92</v>
      </c>
      <c r="J11" s="72" t="s">
        <v>962</v>
      </c>
      <c r="K11" s="26" t="s">
        <v>29</v>
      </c>
      <c r="L11" s="838"/>
      <c r="M11" s="867"/>
    </row>
    <row r="12" spans="1:13" ht="64.5" customHeight="1" thickTop="1" thickBot="1" x14ac:dyDescent="0.3">
      <c r="A12" s="633">
        <v>309101</v>
      </c>
      <c r="B12" s="308">
        <v>900110</v>
      </c>
      <c r="C12" s="613" t="s">
        <v>841</v>
      </c>
      <c r="D12" s="240" t="s">
        <v>842</v>
      </c>
      <c r="E12" s="349" t="s">
        <v>190</v>
      </c>
      <c r="F12" s="350">
        <f>TLAX_Calendario!F13</f>
        <v>1720210.96</v>
      </c>
      <c r="G12" s="351">
        <f>123578*1.16</f>
        <v>143350.47999999998</v>
      </c>
      <c r="H12" s="65">
        <f ca="1">TLAX_Calendario!T13</f>
        <v>1290159</v>
      </c>
      <c r="I12" s="65">
        <f>TLAX_Calendario!T14</f>
        <v>1146803.28</v>
      </c>
      <c r="J12" s="73">
        <f ca="1">H12-I12</f>
        <v>143355.71999999997</v>
      </c>
      <c r="K12" s="74">
        <f ca="1">+J12/H12*100</f>
        <v>11.111476957491284</v>
      </c>
      <c r="L12" s="75">
        <f ca="1">+I12/H12*100</f>
        <v>88.888523042508723</v>
      </c>
      <c r="M12" s="636" t="s">
        <v>778</v>
      </c>
    </row>
    <row r="13" spans="1:13" ht="50.25" customHeight="1" thickBot="1" x14ac:dyDescent="0.3">
      <c r="A13" s="159">
        <v>309001</v>
      </c>
      <c r="B13" s="311">
        <v>100100</v>
      </c>
      <c r="C13" s="348" t="s">
        <v>841</v>
      </c>
      <c r="D13" s="212" t="s">
        <v>843</v>
      </c>
      <c r="E13" s="584" t="s">
        <v>844</v>
      </c>
      <c r="F13" s="350">
        <f>TLAX_Calendario!F15</f>
        <v>591600</v>
      </c>
      <c r="G13" s="130">
        <f>+F13/12</f>
        <v>49300</v>
      </c>
      <c r="H13" s="65">
        <f ca="1">TLAX_Calendario!T15</f>
        <v>443700</v>
      </c>
      <c r="I13" s="69">
        <f>TLAX_Calendario!T16</f>
        <v>394386.16000000003</v>
      </c>
      <c r="J13" s="81">
        <f ca="1">H13-I13</f>
        <v>49313.839999999967</v>
      </c>
      <c r="K13" s="82">
        <f ca="1">+J13/H13*100</f>
        <v>11.114230335812479</v>
      </c>
      <c r="L13" s="83">
        <f ca="1">+I13/H13*100</f>
        <v>88.885769664187521</v>
      </c>
      <c r="M13" s="636" t="s">
        <v>778</v>
      </c>
    </row>
    <row r="14" spans="1:13" ht="15.75" thickBot="1" x14ac:dyDescent="0.3">
      <c r="A14" s="4"/>
      <c r="B14" s="4">
        <v>2</v>
      </c>
      <c r="C14" s="24">
        <f>COUNT(#REF!)</f>
        <v>0</v>
      </c>
      <c r="D14" s="7"/>
      <c r="E14" s="623"/>
      <c r="F14" s="32">
        <f>SUM(F12:F13)</f>
        <v>2311810.96</v>
      </c>
      <c r="G14" s="32">
        <f>SUM(G12:G13)</f>
        <v>192650.47999999998</v>
      </c>
      <c r="H14" s="32">
        <f ca="1">SUM(H12:H13)</f>
        <v>1733859</v>
      </c>
      <c r="I14" s="32">
        <f>SUM(I12:I13)</f>
        <v>1541189.44</v>
      </c>
      <c r="J14" s="32">
        <f ca="1">H14-I14</f>
        <v>192669.56000000006</v>
      </c>
      <c r="K14" s="150">
        <f ca="1">+J14/H14*100</f>
        <v>11.112181555708974</v>
      </c>
      <c r="L14" s="151">
        <f ca="1">+I14/H14*100</f>
        <v>88.887818444291028</v>
      </c>
      <c r="M14" s="5"/>
    </row>
    <row r="15" spans="1:13" ht="31.5" customHeight="1" x14ac:dyDescent="0.25">
      <c r="E15" s="635"/>
      <c r="F15" s="3"/>
      <c r="G15" s="3"/>
      <c r="H15" s="2"/>
      <c r="I15" s="2"/>
      <c r="J15" s="2"/>
      <c r="K15" s="2"/>
      <c r="L15" s="2"/>
      <c r="M15" s="857"/>
    </row>
    <row r="16" spans="1:13" ht="31.5" customHeight="1" x14ac:dyDescent="0.25">
      <c r="F16" s="2"/>
      <c r="G16" s="2"/>
      <c r="H16" s="2"/>
      <c r="I16" s="2"/>
      <c r="J16" s="2"/>
      <c r="K16" s="2"/>
      <c r="L16" s="2"/>
      <c r="M16" s="857"/>
    </row>
    <row r="17" spans="8:11" ht="31.5" customHeight="1" x14ac:dyDescent="0.25">
      <c r="H17" s="9"/>
      <c r="I17" s="2"/>
      <c r="K17" s="9"/>
    </row>
    <row r="18" spans="8:11" x14ac:dyDescent="0.25">
      <c r="I18" s="2"/>
    </row>
    <row r="19" spans="8:11" x14ac:dyDescent="0.25">
      <c r="I19" s="2"/>
    </row>
    <row r="20" spans="8:11" x14ac:dyDescent="0.25">
      <c r="I20" s="2"/>
    </row>
    <row r="21" spans="8:11" x14ac:dyDescent="0.25">
      <c r="I21" s="2"/>
    </row>
    <row r="22" spans="8:11" x14ac:dyDescent="0.25">
      <c r="I22" s="2"/>
    </row>
    <row r="23" spans="8:11" x14ac:dyDescent="0.25">
      <c r="I23" s="2"/>
    </row>
    <row r="24" spans="8:11" x14ac:dyDescent="0.25">
      <c r="I24" s="2"/>
    </row>
    <row r="25" spans="8:11" x14ac:dyDescent="0.25">
      <c r="I25" s="2"/>
    </row>
    <row r="26" spans="8:11" x14ac:dyDescent="0.25">
      <c r="I26" s="2"/>
    </row>
    <row r="27" spans="8:11" x14ac:dyDescent="0.25">
      <c r="I27" s="2"/>
    </row>
    <row r="28" spans="8:11" x14ac:dyDescent="0.25">
      <c r="I28" s="2"/>
    </row>
    <row r="29" spans="8:11" x14ac:dyDescent="0.25">
      <c r="I29" s="2"/>
    </row>
    <row r="30" spans="8:11" x14ac:dyDescent="0.25">
      <c r="I30" s="2"/>
    </row>
    <row r="31" spans="8:11" x14ac:dyDescent="0.25">
      <c r="I31" s="2"/>
    </row>
    <row r="32" spans="8:11" x14ac:dyDescent="0.25">
      <c r="I32" s="2"/>
    </row>
    <row r="33" spans="9:9" x14ac:dyDescent="0.25">
      <c r="I33" s="2"/>
    </row>
    <row r="34" spans="9:9" x14ac:dyDescent="0.25">
      <c r="I34" s="2"/>
    </row>
  </sheetData>
  <mergeCells count="12">
    <mergeCell ref="M10:M11"/>
    <mergeCell ref="M15:M16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6" fitToHeight="21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view="pageBreakPreview" zoomScale="85" zoomScaleNormal="100" zoomScaleSheetLayoutView="85" zoomScalePageLayoutView="80" workbookViewId="0">
      <pane xSplit="2" topLeftCell="K1" activePane="topRight" state="frozen"/>
      <selection pane="topRight" activeCell="A14" sqref="A14"/>
    </sheetView>
  </sheetViews>
  <sheetFormatPr baseColWidth="10" defaultRowHeight="15" x14ac:dyDescent="0.25"/>
  <cols>
    <col min="1" max="1" width="9.42578125" style="306" customWidth="1"/>
    <col min="2" max="2" width="8.42578125" style="306" customWidth="1"/>
    <col min="3" max="3" width="0.28515625" style="306" customWidth="1"/>
    <col min="4" max="4" width="21.5703125" style="306" customWidth="1"/>
    <col min="5" max="5" width="27.28515625" style="586" customWidth="1"/>
    <col min="6" max="12" width="15" customWidth="1"/>
    <col min="13" max="13" width="17.140625" customWidth="1"/>
    <col min="14" max="19" width="1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x14ac:dyDescent="0.25">
      <c r="F1" s="587" t="s">
        <v>25</v>
      </c>
      <c r="U1" s="11"/>
    </row>
    <row r="2" spans="1:21" x14ac:dyDescent="0.25">
      <c r="F2" s="587" t="s">
        <v>24</v>
      </c>
    </row>
    <row r="3" spans="1:21" x14ac:dyDescent="0.25">
      <c r="F3" s="587" t="s">
        <v>23</v>
      </c>
    </row>
    <row r="4" spans="1:21" x14ac:dyDescent="0.25">
      <c r="F4" s="587" t="s">
        <v>22</v>
      </c>
    </row>
    <row r="5" spans="1:21" x14ac:dyDescent="0.25">
      <c r="F5" s="587" t="s">
        <v>21</v>
      </c>
    </row>
    <row r="6" spans="1:21" ht="20.25" x14ac:dyDescent="0.3">
      <c r="E6" s="588"/>
      <c r="F6" s="589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x14ac:dyDescent="0.25">
      <c r="D8" s="590" t="s">
        <v>31</v>
      </c>
      <c r="E8" s="587" t="s">
        <v>149</v>
      </c>
      <c r="T8" s="9"/>
    </row>
    <row r="9" spans="1:21" ht="15.75" thickBot="1" x14ac:dyDescent="0.3">
      <c r="D9" s="590"/>
      <c r="E9" s="587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1004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1004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28.5" customHeight="1" thickTop="1" thickBot="1" x14ac:dyDescent="0.3">
      <c r="A13" s="308">
        <v>900110</v>
      </c>
      <c r="B13" s="633">
        <v>309101</v>
      </c>
      <c r="C13" s="613" t="s">
        <v>841</v>
      </c>
      <c r="D13" s="873" t="s">
        <v>842</v>
      </c>
      <c r="E13" s="943" t="s">
        <v>190</v>
      </c>
      <c r="F13" s="918">
        <f>SUM(H13:S13)</f>
        <v>1720210.96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286700.82</v>
      </c>
      <c r="K13" s="166">
        <f t="shared" si="0"/>
        <v>143350.41</v>
      </c>
      <c r="L13" s="166">
        <f t="shared" si="0"/>
        <v>143350.41</v>
      </c>
      <c r="M13" s="166">
        <f t="shared" si="0"/>
        <v>143350.41</v>
      </c>
      <c r="N13" s="166">
        <f t="shared" si="0"/>
        <v>143350.41</v>
      </c>
      <c r="O13" s="166">
        <f t="shared" si="0"/>
        <v>143350.41</v>
      </c>
      <c r="P13" s="166">
        <f t="shared" si="0"/>
        <v>143350.41</v>
      </c>
      <c r="Q13" s="166">
        <f t="shared" si="0"/>
        <v>143355.72</v>
      </c>
      <c r="R13" s="166">
        <f t="shared" si="0"/>
        <v>143351</v>
      </c>
      <c r="S13" s="166">
        <f t="shared" si="0"/>
        <v>286700.96000000002</v>
      </c>
      <c r="T13" s="185">
        <f ca="1">SUM($H13:(OFFSET($H13,0,AVANCE060826!$T$2)))</f>
        <v>1290159</v>
      </c>
      <c r="U13" s="876"/>
    </row>
    <row r="14" spans="1:21" ht="28.5" customHeight="1" thickTop="1" x14ac:dyDescent="0.25">
      <c r="A14" s="308">
        <v>900110</v>
      </c>
      <c r="B14" s="633">
        <v>309101</v>
      </c>
      <c r="C14" s="634"/>
      <c r="D14" s="873"/>
      <c r="E14" s="943"/>
      <c r="F14" s="918"/>
      <c r="G14" s="166" t="s">
        <v>53</v>
      </c>
      <c r="H14" s="166"/>
      <c r="I14" s="166">
        <f t="shared" ref="I14:S14" si="1">VLOOKUP($A14&amp;$B14&amp;I$10,Base,9,FALSE)</f>
        <v>0</v>
      </c>
      <c r="J14" s="166">
        <f t="shared" si="1"/>
        <v>286700.82</v>
      </c>
      <c r="K14" s="166">
        <f t="shared" si="1"/>
        <v>143350.41</v>
      </c>
      <c r="L14" s="166">
        <f t="shared" si="1"/>
        <v>143350.41</v>
      </c>
      <c r="M14" s="166">
        <f t="shared" si="1"/>
        <v>143350.41</v>
      </c>
      <c r="N14" s="166">
        <f t="shared" si="1"/>
        <v>143350.41</v>
      </c>
      <c r="O14" s="166">
        <f t="shared" si="1"/>
        <v>143350.41</v>
      </c>
      <c r="P14" s="166">
        <f t="shared" si="1"/>
        <v>143350.41</v>
      </c>
      <c r="Q14" s="166">
        <f t="shared" si="1"/>
        <v>0</v>
      </c>
      <c r="R14" s="166">
        <f t="shared" si="1"/>
        <v>0</v>
      </c>
      <c r="S14" s="166">
        <f t="shared" si="1"/>
        <v>0</v>
      </c>
      <c r="T14" s="185">
        <f>SUM(H14:S14)</f>
        <v>1146803.28</v>
      </c>
      <c r="U14" s="876"/>
    </row>
    <row r="15" spans="1:21" ht="28.5" customHeight="1" x14ac:dyDescent="0.25">
      <c r="A15" s="311">
        <v>100100</v>
      </c>
      <c r="B15" s="159">
        <v>309001</v>
      </c>
      <c r="C15" s="348" t="s">
        <v>841</v>
      </c>
      <c r="D15" s="873" t="s">
        <v>843</v>
      </c>
      <c r="E15" s="943" t="s">
        <v>844</v>
      </c>
      <c r="F15" s="918">
        <f>SUM(H15:S15)</f>
        <v>591600</v>
      </c>
      <c r="G15" s="166" t="s">
        <v>52</v>
      </c>
      <c r="H15" s="166"/>
      <c r="I15" s="166">
        <f t="shared" ref="I15:S15" si="2">VLOOKUP($A15&amp;$B15&amp;I$10,Base,8,FALSE)</f>
        <v>0</v>
      </c>
      <c r="J15" s="166">
        <f t="shared" si="2"/>
        <v>0</v>
      </c>
      <c r="K15" s="166">
        <f t="shared" si="2"/>
        <v>0</v>
      </c>
      <c r="L15" s="166">
        <f t="shared" si="2"/>
        <v>197193.08</v>
      </c>
      <c r="M15" s="166">
        <f t="shared" si="2"/>
        <v>49298.27</v>
      </c>
      <c r="N15" s="166">
        <f t="shared" si="2"/>
        <v>49298.27</v>
      </c>
      <c r="O15" s="166">
        <f t="shared" si="2"/>
        <v>49298.27</v>
      </c>
      <c r="P15" s="166">
        <f t="shared" si="2"/>
        <v>49298.27</v>
      </c>
      <c r="Q15" s="166">
        <f t="shared" si="2"/>
        <v>49313.84</v>
      </c>
      <c r="R15" s="166">
        <f t="shared" si="2"/>
        <v>49300</v>
      </c>
      <c r="S15" s="166">
        <f t="shared" si="2"/>
        <v>98600</v>
      </c>
      <c r="T15" s="185">
        <f ca="1">SUM($H15:(OFFSET($H15,0,AVANCE060826!$T$2)))</f>
        <v>443700</v>
      </c>
      <c r="U15" s="876"/>
    </row>
    <row r="16" spans="1:21" ht="28.5" customHeight="1" x14ac:dyDescent="0.25">
      <c r="A16" s="311">
        <v>100100</v>
      </c>
      <c r="B16" s="159">
        <v>309001</v>
      </c>
      <c r="C16" s="411"/>
      <c r="D16" s="873"/>
      <c r="E16" s="943"/>
      <c r="F16" s="918"/>
      <c r="G16" s="166" t="s">
        <v>53</v>
      </c>
      <c r="H16" s="166"/>
      <c r="I16" s="166">
        <f t="shared" ref="I16:S16" si="3">VLOOKUP($A16&amp;$B16&amp;I$10,Base,9,FALSE)</f>
        <v>0</v>
      </c>
      <c r="J16" s="166">
        <f t="shared" si="3"/>
        <v>0</v>
      </c>
      <c r="K16" s="166">
        <f t="shared" si="3"/>
        <v>0</v>
      </c>
      <c r="L16" s="166">
        <f t="shared" si="3"/>
        <v>197193.08</v>
      </c>
      <c r="M16" s="166">
        <f t="shared" si="3"/>
        <v>49298.27</v>
      </c>
      <c r="N16" s="166">
        <f t="shared" si="3"/>
        <v>49298.27</v>
      </c>
      <c r="O16" s="166">
        <f t="shared" si="3"/>
        <v>49298.27</v>
      </c>
      <c r="P16" s="166">
        <f t="shared" si="3"/>
        <v>49298.27</v>
      </c>
      <c r="Q16" s="166">
        <f t="shared" si="3"/>
        <v>0</v>
      </c>
      <c r="R16" s="166">
        <f t="shared" si="3"/>
        <v>0</v>
      </c>
      <c r="S16" s="166">
        <f t="shared" si="3"/>
        <v>0</v>
      </c>
      <c r="T16" s="185">
        <f>SUM(H16:S16)</f>
        <v>394386.16000000003</v>
      </c>
      <c r="U16" s="876"/>
    </row>
    <row r="17" spans="1:21" ht="15.75" thickBot="1" x14ac:dyDescent="0.3">
      <c r="A17" s="4">
        <v>2</v>
      </c>
      <c r="B17" s="4"/>
      <c r="C17" s="24">
        <f>COUNT(#REF!)</f>
        <v>0</v>
      </c>
      <c r="D17" s="7"/>
      <c r="E17" s="623"/>
      <c r="F17" s="32">
        <f>SUM(F13:F16)</f>
        <v>2311810.96</v>
      </c>
      <c r="G17" s="161" t="s">
        <v>52</v>
      </c>
      <c r="H17" s="339">
        <f>+H15+H13</f>
        <v>0</v>
      </c>
      <c r="I17" s="339">
        <f t="shared" ref="I17:T17" si="4">+I15+I13</f>
        <v>0</v>
      </c>
      <c r="J17" s="339">
        <f t="shared" si="4"/>
        <v>286700.82</v>
      </c>
      <c r="K17" s="339">
        <f t="shared" si="4"/>
        <v>143350.41</v>
      </c>
      <c r="L17" s="339">
        <f t="shared" si="4"/>
        <v>340543.49</v>
      </c>
      <c r="M17" s="339">
        <f t="shared" si="4"/>
        <v>192648.68</v>
      </c>
      <c r="N17" s="339">
        <f>+N15+N13</f>
        <v>192648.68</v>
      </c>
      <c r="O17" s="339">
        <f>+O15+O13</f>
        <v>192648.68</v>
      </c>
      <c r="P17" s="339"/>
      <c r="Q17" s="339"/>
      <c r="R17" s="339"/>
      <c r="S17" s="339"/>
      <c r="T17" s="339">
        <f t="shared" ca="1" si="4"/>
        <v>1733859</v>
      </c>
      <c r="U17" s="5"/>
    </row>
    <row r="18" spans="1:21" ht="31.5" customHeight="1" x14ac:dyDescent="0.25">
      <c r="E18" s="635"/>
      <c r="F18" s="3"/>
      <c r="G18" s="166" t="s">
        <v>53</v>
      </c>
      <c r="H18" s="339">
        <f t="shared" ref="H18:T18" si="5">+H16+H14</f>
        <v>0</v>
      </c>
      <c r="I18" s="339">
        <f t="shared" si="5"/>
        <v>0</v>
      </c>
      <c r="J18" s="339">
        <f t="shared" si="5"/>
        <v>286700.82</v>
      </c>
      <c r="K18" s="339">
        <f t="shared" si="5"/>
        <v>143350.41</v>
      </c>
      <c r="L18" s="339">
        <f t="shared" si="5"/>
        <v>340543.49</v>
      </c>
      <c r="M18" s="339">
        <f t="shared" si="5"/>
        <v>192648.68</v>
      </c>
      <c r="N18" s="339">
        <f>+N16+N14</f>
        <v>192648.68</v>
      </c>
      <c r="O18" s="339">
        <f>+O16+O14</f>
        <v>192648.68</v>
      </c>
      <c r="P18" s="339"/>
      <c r="Q18" s="339"/>
      <c r="R18" s="339"/>
      <c r="S18" s="339"/>
      <c r="T18" s="339">
        <f t="shared" si="5"/>
        <v>1541189.44</v>
      </c>
      <c r="U18" s="857"/>
    </row>
    <row r="19" spans="1:21" ht="31.5" customHeight="1" x14ac:dyDescent="0.25"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857"/>
    </row>
    <row r="20" spans="1:21" ht="31.5" customHeight="1" x14ac:dyDescent="0.25">
      <c r="T20" s="9"/>
    </row>
  </sheetData>
  <mergeCells count="29">
    <mergeCell ref="C11:C12"/>
    <mergeCell ref="D11:D12"/>
    <mergeCell ref="E11:E12"/>
    <mergeCell ref="F11:F12"/>
    <mergeCell ref="M11:M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D13:D14"/>
    <mergeCell ref="E13:E14"/>
    <mergeCell ref="F13:F14"/>
    <mergeCell ref="N11:N12"/>
    <mergeCell ref="O11:O12"/>
    <mergeCell ref="U13:U14"/>
    <mergeCell ref="Q11:Q12"/>
    <mergeCell ref="R11:R12"/>
    <mergeCell ref="S11:S12"/>
    <mergeCell ref="T11:T12"/>
    <mergeCell ref="U15:U16"/>
    <mergeCell ref="U18:U19"/>
    <mergeCell ref="D15:D16"/>
    <mergeCell ref="E15:E16"/>
    <mergeCell ref="F15:F16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8" fitToHeight="21" orientation="landscape" r:id="rId1"/>
  <ignoredErrors>
    <ignoredError sqref="T14" formula="1"/>
  </ignoredError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opLeftCell="A22" zoomScale="85" zoomScaleNormal="85" zoomScaleSheetLayoutView="80" zoomScalePageLayoutView="80" workbookViewId="0">
      <selection activeCell="O25" sqref="O12:O25"/>
    </sheetView>
  </sheetViews>
  <sheetFormatPr baseColWidth="10" defaultRowHeight="15" x14ac:dyDescent="0.25"/>
  <cols>
    <col min="1" max="1" width="8.42578125" style="306" customWidth="1"/>
    <col min="2" max="2" width="9.42578125" style="306" customWidth="1"/>
    <col min="3" max="3" width="0.85546875" style="306" customWidth="1"/>
    <col min="4" max="4" width="21.5703125" style="306" customWidth="1"/>
    <col min="5" max="5" width="27.28515625" style="586" customWidth="1"/>
    <col min="6" max="6" width="17.28515625" customWidth="1"/>
    <col min="7" max="7" width="15.7109375" customWidth="1"/>
    <col min="8" max="8" width="19.140625" customWidth="1"/>
    <col min="9" max="9" width="16.7109375" style="192" customWidth="1"/>
    <col min="10" max="10" width="16" customWidth="1"/>
    <col min="11" max="11" width="13.5703125" hidden="1" customWidth="1"/>
    <col min="12" max="12" width="10.28515625" hidden="1" customWidth="1"/>
    <col min="13" max="13" width="34.5703125" customWidth="1"/>
    <col min="14" max="14" width="1.42578125" customWidth="1"/>
    <col min="15" max="16363" width="11.42578125" customWidth="1"/>
  </cols>
  <sheetData>
    <row r="1" spans="1:13" x14ac:dyDescent="0.25">
      <c r="D1" s="587" t="s">
        <v>25</v>
      </c>
      <c r="M1" s="11"/>
    </row>
    <row r="2" spans="1:13" x14ac:dyDescent="0.25">
      <c r="D2" s="587" t="s">
        <v>24</v>
      </c>
    </row>
    <row r="3" spans="1:13" x14ac:dyDescent="0.25">
      <c r="D3" s="587" t="s">
        <v>23</v>
      </c>
    </row>
    <row r="4" spans="1:13" x14ac:dyDescent="0.25">
      <c r="D4" s="587" t="s">
        <v>22</v>
      </c>
      <c r="K4" s="9"/>
      <c r="L4" s="9"/>
    </row>
    <row r="5" spans="1:13" x14ac:dyDescent="0.25">
      <c r="D5" s="587" t="s">
        <v>21</v>
      </c>
    </row>
    <row r="6" spans="1:13" ht="20.25" x14ac:dyDescent="0.3">
      <c r="D6" s="589" t="s">
        <v>20</v>
      </c>
      <c r="E6" s="588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x14ac:dyDescent="0.25">
      <c r="D8" s="590" t="s">
        <v>31</v>
      </c>
      <c r="E8" s="587" t="s">
        <v>150</v>
      </c>
      <c r="G8" s="9"/>
      <c r="H8" s="9"/>
      <c r="L8" s="9"/>
    </row>
    <row r="9" spans="1:13" ht="0.75" customHeight="1" thickBot="1" x14ac:dyDescent="0.3">
      <c r="H9" s="9"/>
    </row>
    <row r="10" spans="1:13" ht="33" customHeight="1" x14ac:dyDescent="0.25">
      <c r="A10" s="842" t="s">
        <v>18</v>
      </c>
      <c r="B10" s="870"/>
      <c r="C10" s="883"/>
      <c r="D10" s="1022" t="s">
        <v>16</v>
      </c>
      <c r="E10" s="1024" t="s">
        <v>15</v>
      </c>
      <c r="F10" s="950" t="s">
        <v>26</v>
      </c>
      <c r="G10" s="837" t="s">
        <v>215</v>
      </c>
      <c r="H10" s="832" t="s">
        <v>90</v>
      </c>
      <c r="I10" s="834"/>
      <c r="J10" s="832" t="s">
        <v>27</v>
      </c>
      <c r="K10" s="834"/>
      <c r="L10" s="837" t="s">
        <v>28</v>
      </c>
      <c r="M10" s="837" t="s">
        <v>14</v>
      </c>
    </row>
    <row r="11" spans="1:13" ht="34.5" customHeight="1" thickBot="1" x14ac:dyDescent="0.3">
      <c r="A11" s="33" t="s">
        <v>13</v>
      </c>
      <c r="B11" s="131" t="s">
        <v>12</v>
      </c>
      <c r="C11" s="883"/>
      <c r="D11" s="1023"/>
      <c r="E11" s="1025"/>
      <c r="F11" s="1026"/>
      <c r="G11" s="838"/>
      <c r="H11" s="58" t="s">
        <v>91</v>
      </c>
      <c r="I11" s="570" t="s">
        <v>92</v>
      </c>
      <c r="J11" s="72" t="s">
        <v>962</v>
      </c>
      <c r="K11" s="26" t="s">
        <v>29</v>
      </c>
      <c r="L11" s="838"/>
      <c r="M11" s="838"/>
    </row>
    <row r="12" spans="1:13" ht="49.5" customHeight="1" thickTop="1" x14ac:dyDescent="0.25">
      <c r="A12" s="644">
        <v>312401</v>
      </c>
      <c r="B12" s="645">
        <v>200200</v>
      </c>
      <c r="C12" s="411"/>
      <c r="D12" s="254" t="s">
        <v>846</v>
      </c>
      <c r="E12" s="243" t="s">
        <v>847</v>
      </c>
      <c r="F12" s="350">
        <f>'VER NTE_Calendario'!F13</f>
        <v>278400</v>
      </c>
      <c r="G12" s="351">
        <f>+F12/12</f>
        <v>23200</v>
      </c>
      <c r="H12" s="65">
        <f ca="1">'VER NTE_Calendario'!T13</f>
        <v>208800</v>
      </c>
      <c r="I12" s="65">
        <f>'VER NTE_Calendario'!T14</f>
        <v>208799.99</v>
      </c>
      <c r="J12" s="73">
        <f ca="1">H12-I12</f>
        <v>1.0000000009313226E-2</v>
      </c>
      <c r="K12" s="74">
        <f ca="1">+J12/H12*100</f>
        <v>4.7892720351116986E-6</v>
      </c>
      <c r="L12" s="75">
        <f ca="1">+I12/H12*100</f>
        <v>99.99999521072796</v>
      </c>
      <c r="M12" s="574" t="s">
        <v>992</v>
      </c>
    </row>
    <row r="13" spans="1:13" ht="59.25" hidden="1" customHeight="1" x14ac:dyDescent="0.25">
      <c r="A13" s="646">
        <v>312408</v>
      </c>
      <c r="B13" s="647">
        <v>200200</v>
      </c>
      <c r="C13" s="460"/>
      <c r="D13" s="254"/>
      <c r="E13" s="243"/>
      <c r="F13" s="350"/>
      <c r="G13" s="351"/>
      <c r="H13" s="65"/>
      <c r="I13" s="129"/>
      <c r="J13" s="73">
        <f>+I13-H13</f>
        <v>0</v>
      </c>
      <c r="K13" s="74" t="e">
        <f>+J13/H13*100</f>
        <v>#DIV/0!</v>
      </c>
      <c r="L13" s="75" t="e">
        <f>+I13/H13*100</f>
        <v>#DIV/0!</v>
      </c>
      <c r="M13" s="574" t="s">
        <v>992</v>
      </c>
    </row>
    <row r="14" spans="1:13" ht="60.75" hidden="1" customHeight="1" x14ac:dyDescent="0.25">
      <c r="A14" s="648">
        <v>312447</v>
      </c>
      <c r="B14" s="649" t="s">
        <v>671</v>
      </c>
      <c r="C14" s="460"/>
      <c r="D14" s="254" t="s">
        <v>866</v>
      </c>
      <c r="E14" s="243" t="s">
        <v>867</v>
      </c>
      <c r="F14" s="350"/>
      <c r="G14" s="351"/>
      <c r="H14" s="65"/>
      <c r="I14" s="129"/>
      <c r="J14" s="73">
        <f>+I14-H14</f>
        <v>0</v>
      </c>
      <c r="K14" s="74" t="e">
        <f>+J14/H14*100</f>
        <v>#DIV/0!</v>
      </c>
      <c r="L14" s="75" t="e">
        <f>+I14/H14*100</f>
        <v>#DIV/0!</v>
      </c>
      <c r="M14" s="574" t="s">
        <v>992</v>
      </c>
    </row>
    <row r="15" spans="1:13" ht="78.75" customHeight="1" x14ac:dyDescent="0.25">
      <c r="A15" s="646">
        <v>319103</v>
      </c>
      <c r="B15" s="647">
        <v>900110</v>
      </c>
      <c r="C15" s="460"/>
      <c r="D15" s="254" t="s">
        <v>849</v>
      </c>
      <c r="E15" s="243" t="s">
        <v>190</v>
      </c>
      <c r="F15" s="350">
        <f>'VER NTE_Calendario'!F15:F15</f>
        <v>561229</v>
      </c>
      <c r="G15" s="351">
        <f>+F15/12</f>
        <v>46769.083333333336</v>
      </c>
      <c r="H15" s="65">
        <f ca="1">'VER NTE_Calendario'!T15</f>
        <v>420930</v>
      </c>
      <c r="I15" s="129">
        <f>'VER NTE_Calendario'!T16</f>
        <v>420921.18000000005</v>
      </c>
      <c r="J15" s="73">
        <f t="shared" ref="J15:J26" ca="1" si="0">H15-I15</f>
        <v>8.8199999999487773</v>
      </c>
      <c r="K15" s="74">
        <f t="shared" ref="K15:K26" ca="1" si="1">+J15/H15*100</f>
        <v>2.0953602736675406E-3</v>
      </c>
      <c r="L15" s="75">
        <f t="shared" ref="L15:L25" ca="1" si="2">+I15/H15*100</f>
        <v>99.997904639726329</v>
      </c>
      <c r="M15" s="574" t="s">
        <v>992</v>
      </c>
    </row>
    <row r="16" spans="1:13" ht="78" customHeight="1" x14ac:dyDescent="0.25">
      <c r="A16" s="646">
        <v>319102</v>
      </c>
      <c r="B16" s="647">
        <v>900110</v>
      </c>
      <c r="C16" s="184"/>
      <c r="D16" s="254" t="s">
        <v>851</v>
      </c>
      <c r="E16" s="243" t="s">
        <v>190</v>
      </c>
      <c r="F16" s="350">
        <f>'VER NTE_Calendario'!F17:F17</f>
        <v>1322399.9999999998</v>
      </c>
      <c r="G16" s="351">
        <f t="shared" ref="G16:G23" si="3">+F16/12</f>
        <v>110199.99999999999</v>
      </c>
      <c r="H16" s="65">
        <f ca="1">'VER NTE_Calendario'!T17</f>
        <v>991799.99999999977</v>
      </c>
      <c r="I16" s="129">
        <f>'VER NTE_Calendario'!T18</f>
        <v>991799.44999999972</v>
      </c>
      <c r="J16" s="73">
        <f t="shared" ca="1" si="0"/>
        <v>0.55000000004656613</v>
      </c>
      <c r="K16" s="74">
        <f t="shared" ca="1" si="1"/>
        <v>5.5454728780658022E-5</v>
      </c>
      <c r="L16" s="75">
        <f t="shared" ca="1" si="2"/>
        <v>99.999944545271219</v>
      </c>
      <c r="M16" s="574" t="s">
        <v>992</v>
      </c>
    </row>
    <row r="17" spans="1:13" ht="77.25" customHeight="1" x14ac:dyDescent="0.25">
      <c r="A17" s="646">
        <v>319001</v>
      </c>
      <c r="B17" s="647">
        <v>140100</v>
      </c>
      <c r="C17" s="411"/>
      <c r="D17" s="254" t="s">
        <v>853</v>
      </c>
      <c r="E17" s="243" t="s">
        <v>239</v>
      </c>
      <c r="F17" s="350">
        <f>'VER NTE_Calendario'!F19:F19</f>
        <v>727603.5</v>
      </c>
      <c r="G17" s="351">
        <f>+F17/12</f>
        <v>60633.625</v>
      </c>
      <c r="H17" s="65">
        <f ca="1">'VER NTE_Calendario'!T19</f>
        <v>525283.6</v>
      </c>
      <c r="I17" s="129">
        <f>'VER NTE_Calendario'!T20</f>
        <v>525275.41999999993</v>
      </c>
      <c r="J17" s="73">
        <f t="shared" ca="1" si="0"/>
        <v>8.1800000000512227</v>
      </c>
      <c r="K17" s="74">
        <f t="shared" ca="1" si="1"/>
        <v>1.5572540243120523E-3</v>
      </c>
      <c r="L17" s="75">
        <f t="shared" ca="1" si="2"/>
        <v>99.998442745975694</v>
      </c>
      <c r="M17" s="574" t="s">
        <v>778</v>
      </c>
    </row>
    <row r="18" spans="1:13" ht="53.25" customHeight="1" x14ac:dyDescent="0.25">
      <c r="A18" s="646">
        <v>310401</v>
      </c>
      <c r="B18" s="647">
        <v>900110</v>
      </c>
      <c r="C18" s="411"/>
      <c r="D18" s="240" t="s">
        <v>855</v>
      </c>
      <c r="E18" s="243" t="s">
        <v>239</v>
      </c>
      <c r="F18" s="350">
        <f>'VER NTE_Calendario'!F21:F21</f>
        <v>49347</v>
      </c>
      <c r="G18" s="351">
        <f t="shared" si="3"/>
        <v>4112.25</v>
      </c>
      <c r="H18" s="65">
        <f ca="1">'VER NTE_Calendario'!T21</f>
        <v>37017</v>
      </c>
      <c r="I18" s="129">
        <f>'VER NTE_Calendario'!T22</f>
        <v>37009.839999999997</v>
      </c>
      <c r="J18" s="73">
        <f t="shared" ca="1" si="0"/>
        <v>7.1600000000034925</v>
      </c>
      <c r="K18" s="74">
        <f t="shared" ca="1" si="1"/>
        <v>1.9342464273181221E-2</v>
      </c>
      <c r="L18" s="75">
        <f t="shared" ca="1" si="2"/>
        <v>99.98065753572682</v>
      </c>
      <c r="M18" s="574" t="s">
        <v>992</v>
      </c>
    </row>
    <row r="19" spans="1:13" ht="44.25" customHeight="1" x14ac:dyDescent="0.25">
      <c r="A19" s="646">
        <v>315901</v>
      </c>
      <c r="B19" s="647">
        <v>380200</v>
      </c>
      <c r="C19" s="460"/>
      <c r="D19" s="240" t="s">
        <v>856</v>
      </c>
      <c r="E19" s="243" t="s">
        <v>857</v>
      </c>
      <c r="F19" s="350">
        <f>'VER NTE_Calendario'!F23:F23</f>
        <v>724258</v>
      </c>
      <c r="G19" s="351">
        <f>52030*1.16</f>
        <v>60354.799999999996</v>
      </c>
      <c r="H19" s="65">
        <f ca="1">'VER NTE_Calendario'!T23</f>
        <v>543195</v>
      </c>
      <c r="I19" s="129">
        <f>'VER NTE_Calendario'!T24</f>
        <v>509893.77000000008</v>
      </c>
      <c r="J19" s="73">
        <f t="shared" ca="1" si="0"/>
        <v>33301.229999999923</v>
      </c>
      <c r="K19" s="74">
        <f t="shared" ca="1" si="1"/>
        <v>6.1306215999778946</v>
      </c>
      <c r="L19" s="75">
        <f t="shared" ca="1" si="2"/>
        <v>93.869378400022114</v>
      </c>
      <c r="M19" s="574" t="s">
        <v>982</v>
      </c>
    </row>
    <row r="20" spans="1:13" ht="57.75" hidden="1" customHeight="1" x14ac:dyDescent="0.25">
      <c r="A20" s="650">
        <v>319101</v>
      </c>
      <c r="B20" s="647">
        <v>910110</v>
      </c>
      <c r="C20" s="460"/>
      <c r="D20" s="357" t="s">
        <v>868</v>
      </c>
      <c r="E20" s="376" t="s">
        <v>869</v>
      </c>
      <c r="F20" s="350"/>
      <c r="G20" s="360"/>
      <c r="H20" s="127"/>
      <c r="I20" s="124"/>
      <c r="J20" s="224">
        <f t="shared" si="0"/>
        <v>0</v>
      </c>
      <c r="K20" s="361"/>
      <c r="L20" s="239"/>
      <c r="M20" s="552"/>
    </row>
    <row r="21" spans="1:13" ht="59.25" customHeight="1" x14ac:dyDescent="0.25">
      <c r="A21" s="651">
        <v>315904</v>
      </c>
      <c r="B21" s="652">
        <v>380200</v>
      </c>
      <c r="C21" s="8"/>
      <c r="D21" s="240" t="s">
        <v>858</v>
      </c>
      <c r="E21" s="653" t="s">
        <v>859</v>
      </c>
      <c r="F21" s="350">
        <f>'VER NTE_Calendario'!F25:F25</f>
        <v>612480</v>
      </c>
      <c r="G21" s="351">
        <f t="shared" si="3"/>
        <v>51040</v>
      </c>
      <c r="H21" s="65">
        <f ca="1">'VER NTE_Calendario'!T25</f>
        <v>459360</v>
      </c>
      <c r="I21" s="129">
        <f>'VER NTE_Calendario'!T26</f>
        <v>459360</v>
      </c>
      <c r="J21" s="73">
        <f t="shared" ca="1" si="0"/>
        <v>0</v>
      </c>
      <c r="K21" s="74">
        <f t="shared" ca="1" si="1"/>
        <v>0</v>
      </c>
      <c r="L21" s="75">
        <f t="shared" ca="1" si="2"/>
        <v>100</v>
      </c>
      <c r="M21" s="574" t="s">
        <v>992</v>
      </c>
    </row>
    <row r="22" spans="1:13" ht="61.5" customHeight="1" x14ac:dyDescent="0.25">
      <c r="A22" s="639">
        <v>319104</v>
      </c>
      <c r="B22" s="654">
        <v>910110</v>
      </c>
      <c r="C22" s="655"/>
      <c r="D22" s="240" t="s">
        <v>860</v>
      </c>
      <c r="E22" s="243" t="s">
        <v>286</v>
      </c>
      <c r="F22" s="350">
        <f>'VER NTE_Calendario'!F27:F27</f>
        <v>5420950</v>
      </c>
      <c r="G22" s="351">
        <f t="shared" si="3"/>
        <v>451745.83333333331</v>
      </c>
      <c r="H22" s="65">
        <f ca="1">'VER NTE_Calendario'!T27</f>
        <v>4065714</v>
      </c>
      <c r="I22" s="129">
        <f>'VER NTE_Calendario'!T28</f>
        <v>4065711.84</v>
      </c>
      <c r="J22" s="73">
        <f t="shared" ca="1" si="0"/>
        <v>2.1600000001490116</v>
      </c>
      <c r="K22" s="74">
        <f t="shared" ca="1" si="1"/>
        <v>5.3127199801781722E-5</v>
      </c>
      <c r="L22" s="75">
        <f t="shared" ca="1" si="2"/>
        <v>99.999946872800194</v>
      </c>
      <c r="M22" s="574" t="s">
        <v>992</v>
      </c>
    </row>
    <row r="23" spans="1:13" ht="85.5" x14ac:dyDescent="0.25">
      <c r="A23" s="656">
        <v>318001</v>
      </c>
      <c r="B23" s="657">
        <v>150900</v>
      </c>
      <c r="C23" s="460"/>
      <c r="D23" s="442" t="s">
        <v>861</v>
      </c>
      <c r="E23" s="658" t="s">
        <v>862</v>
      </c>
      <c r="F23" s="350">
        <f>'VER NTE_Calendario'!F29:F29</f>
        <v>2324640</v>
      </c>
      <c r="G23" s="659">
        <f t="shared" si="3"/>
        <v>193720</v>
      </c>
      <c r="H23" s="660">
        <f ca="1">'VER NTE_Calendario'!T29</f>
        <v>1743479.9999999998</v>
      </c>
      <c r="I23" s="236">
        <f>'VER NTE_Calendario'!T30</f>
        <v>1743479.0899999996</v>
      </c>
      <c r="J23" s="251">
        <f t="shared" ca="1" si="0"/>
        <v>0.91000000014901161</v>
      </c>
      <c r="K23" s="661">
        <f t="shared" ca="1" si="1"/>
        <v>5.2194461659956623E-5</v>
      </c>
      <c r="L23" s="237">
        <f t="shared" ca="1" si="2"/>
        <v>99.999947805538341</v>
      </c>
      <c r="M23" s="574" t="s">
        <v>778</v>
      </c>
    </row>
    <row r="24" spans="1:13" ht="71.25" x14ac:dyDescent="0.25">
      <c r="A24" s="272" t="s">
        <v>870</v>
      </c>
      <c r="B24" s="273">
        <v>73100</v>
      </c>
      <c r="C24" s="662"/>
      <c r="D24" s="240" t="s">
        <v>863</v>
      </c>
      <c r="E24" s="243" t="s">
        <v>864</v>
      </c>
      <c r="F24" s="350">
        <f>'VER NTE_Calendario'!F31:F31</f>
        <v>214536</v>
      </c>
      <c r="G24" s="351">
        <f>+F24/12</f>
        <v>17878</v>
      </c>
      <c r="H24" s="65">
        <f ca="1">'VER NTE_Calendario'!T31</f>
        <v>160902</v>
      </c>
      <c r="I24" s="129">
        <f>'VER NTE_Calendario'!T32</f>
        <v>160901.73000000001</v>
      </c>
      <c r="J24" s="65">
        <f t="shared" ca="1" si="0"/>
        <v>0.26999999998952262</v>
      </c>
      <c r="K24" s="74">
        <f t="shared" ca="1" si="1"/>
        <v>1.6780400491573917E-4</v>
      </c>
      <c r="L24" s="75">
        <f t="shared" ca="1" si="2"/>
        <v>99.999832195995083</v>
      </c>
      <c r="M24" s="574" t="s">
        <v>778</v>
      </c>
    </row>
    <row r="25" spans="1:13" ht="64.5" customHeight="1" thickBot="1" x14ac:dyDescent="0.3">
      <c r="A25" s="272" t="s">
        <v>871</v>
      </c>
      <c r="B25" s="642">
        <v>73100</v>
      </c>
      <c r="C25" s="156"/>
      <c r="D25" s="212" t="s">
        <v>865</v>
      </c>
      <c r="E25" s="447" t="s">
        <v>255</v>
      </c>
      <c r="F25" s="350">
        <f>'VER NTE_Calendario'!F33:F33</f>
        <v>192096</v>
      </c>
      <c r="G25" s="130">
        <f>+F25/12</f>
        <v>16008</v>
      </c>
      <c r="H25" s="285">
        <f ca="1">'VER NTE_Calendario'!T33</f>
        <v>144072</v>
      </c>
      <c r="I25" s="286">
        <f>'VER NTE_Calendario'!T34</f>
        <v>144071.99</v>
      </c>
      <c r="J25" s="218">
        <f t="shared" ca="1" si="0"/>
        <v>1.0000000009313226E-2</v>
      </c>
      <c r="K25" s="403">
        <f t="shared" ca="1" si="1"/>
        <v>6.9409739639299971E-6</v>
      </c>
      <c r="L25" s="404">
        <f t="shared" ca="1" si="2"/>
        <v>99.999993059026039</v>
      </c>
      <c r="M25" s="574" t="s">
        <v>778</v>
      </c>
    </row>
    <row r="26" spans="1:13" ht="15.75" thickBot="1" x14ac:dyDescent="0.3">
      <c r="A26" s="4"/>
      <c r="B26" s="4">
        <v>12</v>
      </c>
      <c r="C26" s="24"/>
      <c r="D26" s="7"/>
      <c r="E26" s="623"/>
      <c r="F26" s="32">
        <f>SUM(F12:F25)</f>
        <v>12427939.5</v>
      </c>
      <c r="G26" s="32">
        <f>SUM(G12:G25)</f>
        <v>1035661.5916666666</v>
      </c>
      <c r="H26" s="32">
        <f ca="1">SUM(H12:H25)</f>
        <v>9300553.5999999996</v>
      </c>
      <c r="I26" s="32">
        <f>SUM(I12:I25)</f>
        <v>9267224.2999999989</v>
      </c>
      <c r="J26" s="215">
        <f t="shared" ca="1" si="0"/>
        <v>33329.300000000745</v>
      </c>
      <c r="K26" s="215">
        <f t="shared" ca="1" si="1"/>
        <v>0.35835823794403748</v>
      </c>
      <c r="L26" s="151">
        <f ca="1">+I26/H26*100</f>
        <v>99.641641762055968</v>
      </c>
      <c r="M26" s="5"/>
    </row>
    <row r="27" spans="1:13" ht="31.5" customHeight="1" x14ac:dyDescent="0.25">
      <c r="E27" s="643"/>
      <c r="F27" s="3"/>
      <c r="G27" s="3"/>
      <c r="H27" s="2"/>
      <c r="I27" s="2"/>
      <c r="J27" s="2"/>
      <c r="K27" s="2"/>
      <c r="L27" s="2"/>
      <c r="M27" s="857"/>
    </row>
    <row r="28" spans="1:13" ht="31.5" customHeight="1" x14ac:dyDescent="0.25">
      <c r="F28" s="2"/>
      <c r="G28" s="2"/>
      <c r="H28" s="2"/>
      <c r="I28" s="118"/>
      <c r="J28" s="2"/>
      <c r="K28" s="2"/>
      <c r="L28" s="2"/>
      <c r="M28" s="857"/>
    </row>
    <row r="29" spans="1:13" ht="31.5" customHeight="1" x14ac:dyDescent="0.25">
      <c r="I29" s="2"/>
    </row>
    <row r="30" spans="1:13" x14ac:dyDescent="0.25">
      <c r="I30" s="2"/>
    </row>
    <row r="31" spans="1:13" x14ac:dyDescent="0.25">
      <c r="I31" s="2"/>
    </row>
    <row r="32" spans="1:13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  <row r="36" spans="9:9" x14ac:dyDescent="0.25">
      <c r="I36" s="2"/>
    </row>
    <row r="37" spans="9:9" x14ac:dyDescent="0.25">
      <c r="I37" s="2"/>
    </row>
    <row r="38" spans="9:9" x14ac:dyDescent="0.25">
      <c r="I38" s="2"/>
    </row>
    <row r="39" spans="9:9" x14ac:dyDescent="0.25">
      <c r="I39" s="2"/>
    </row>
    <row r="40" spans="9:9" x14ac:dyDescent="0.25">
      <c r="I40" s="2"/>
    </row>
    <row r="41" spans="9:9" x14ac:dyDescent="0.25">
      <c r="I41" s="2"/>
    </row>
    <row r="42" spans="9:9" x14ac:dyDescent="0.25">
      <c r="I42" s="2"/>
    </row>
    <row r="43" spans="9:9" x14ac:dyDescent="0.25">
      <c r="I43" s="2"/>
    </row>
    <row r="44" spans="9:9" x14ac:dyDescent="0.25">
      <c r="I44" s="2"/>
    </row>
    <row r="45" spans="9:9" x14ac:dyDescent="0.25">
      <c r="I45" s="2"/>
    </row>
    <row r="46" spans="9:9" x14ac:dyDescent="0.25">
      <c r="I46" s="2"/>
    </row>
  </sheetData>
  <mergeCells count="12">
    <mergeCell ref="M10:M11"/>
    <mergeCell ref="M27:M28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9" fitToHeight="21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view="pageBreakPreview" topLeftCell="D3" zoomScale="70" zoomScaleNormal="100" zoomScaleSheetLayoutView="70" zoomScalePageLayoutView="80" workbookViewId="0">
      <selection activeCell="D39" sqref="D39"/>
    </sheetView>
  </sheetViews>
  <sheetFormatPr baseColWidth="10" defaultRowHeight="15" x14ac:dyDescent="0.25"/>
  <cols>
    <col min="1" max="1" width="12.28515625" style="306" customWidth="1"/>
    <col min="2" max="2" width="9.28515625" style="306" customWidth="1"/>
    <col min="3" max="3" width="0.28515625" style="306" customWidth="1"/>
    <col min="4" max="4" width="21.5703125" style="306" customWidth="1"/>
    <col min="5" max="5" width="24.7109375" style="586" customWidth="1"/>
    <col min="6" max="6" width="20.140625" customWidth="1"/>
    <col min="7" max="7" width="12.7109375" customWidth="1"/>
    <col min="8" max="8" width="19.140625" customWidth="1"/>
    <col min="9" max="15" width="19.85546875" customWidth="1"/>
    <col min="16" max="18" width="20.5703125" customWidth="1"/>
    <col min="19" max="19" width="21" customWidth="1"/>
    <col min="20" max="20" width="20.85546875" customWidth="1"/>
    <col min="21" max="21" width="35.42578125" customWidth="1"/>
    <col min="22" max="22" width="5" customWidth="1"/>
    <col min="23" max="23" width="28" customWidth="1"/>
    <col min="24" max="16373" width="11.42578125" customWidth="1"/>
  </cols>
  <sheetData>
    <row r="1" spans="1:21" x14ac:dyDescent="0.25">
      <c r="F1" s="587" t="s">
        <v>25</v>
      </c>
      <c r="U1" s="11"/>
    </row>
    <row r="2" spans="1:21" x14ac:dyDescent="0.25">
      <c r="F2" s="587" t="s">
        <v>24</v>
      </c>
    </row>
    <row r="3" spans="1:21" x14ac:dyDescent="0.25">
      <c r="F3" s="587" t="s">
        <v>23</v>
      </c>
      <c r="T3" s="9"/>
    </row>
    <row r="4" spans="1:21" x14ac:dyDescent="0.25">
      <c r="F4" s="587" t="s">
        <v>22</v>
      </c>
    </row>
    <row r="5" spans="1:21" x14ac:dyDescent="0.25">
      <c r="F5" s="587" t="s">
        <v>21</v>
      </c>
      <c r="T5" s="9"/>
    </row>
    <row r="6" spans="1:21" ht="20.25" x14ac:dyDescent="0.3">
      <c r="E6" s="588"/>
      <c r="F6" s="589" t="s">
        <v>20</v>
      </c>
      <c r="G6" s="16"/>
      <c r="H6" s="16"/>
      <c r="I6" s="16"/>
      <c r="J6" s="264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x14ac:dyDescent="0.25">
      <c r="D8" s="590" t="s">
        <v>31</v>
      </c>
      <c r="E8" s="587" t="s">
        <v>150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1" x14ac:dyDescent="0.25">
      <c r="D9" s="590"/>
      <c r="E9" s="587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1" hidden="1" x14ac:dyDescent="0.25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  <c r="T10" s="9"/>
    </row>
    <row r="11" spans="1:21" ht="18" customHeight="1" x14ac:dyDescent="0.25">
      <c r="A11" s="25"/>
      <c r="B11" s="25" t="s">
        <v>18</v>
      </c>
      <c r="C11" s="920" t="s">
        <v>17</v>
      </c>
      <c r="D11" s="879" t="s">
        <v>16</v>
      </c>
      <c r="E11" s="1004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77" t="s">
        <v>51</v>
      </c>
      <c r="U11" s="877" t="s">
        <v>14</v>
      </c>
    </row>
    <row r="12" spans="1:21" ht="34.5" customHeight="1" x14ac:dyDescent="0.25">
      <c r="A12" s="25" t="s">
        <v>12</v>
      </c>
      <c r="B12" s="25" t="s">
        <v>13</v>
      </c>
      <c r="C12" s="920"/>
      <c r="D12" s="879"/>
      <c r="E12" s="1004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77"/>
      <c r="U12" s="877"/>
    </row>
    <row r="13" spans="1:21" ht="49.5" customHeight="1" x14ac:dyDescent="0.25">
      <c r="A13" s="750">
        <v>100902</v>
      </c>
      <c r="B13" s="637">
        <v>312401</v>
      </c>
      <c r="C13" s="638" t="s">
        <v>845</v>
      </c>
      <c r="D13" s="874" t="s">
        <v>846</v>
      </c>
      <c r="E13" s="873" t="s">
        <v>847</v>
      </c>
      <c r="F13" s="918">
        <f>SUM(I13:S13)</f>
        <v>278400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46399.99</v>
      </c>
      <c r="K13" s="166">
        <f t="shared" si="0"/>
        <v>23200</v>
      </c>
      <c r="L13" s="166">
        <f t="shared" si="0"/>
        <v>23200</v>
      </c>
      <c r="M13" s="166">
        <f t="shared" si="0"/>
        <v>23200</v>
      </c>
      <c r="N13" s="166">
        <f t="shared" si="0"/>
        <v>23200</v>
      </c>
      <c r="O13" s="166">
        <f t="shared" si="0"/>
        <v>23200</v>
      </c>
      <c r="P13" s="166">
        <f t="shared" si="0"/>
        <v>23200</v>
      </c>
      <c r="Q13" s="166">
        <f t="shared" si="0"/>
        <v>23200.01</v>
      </c>
      <c r="R13" s="166">
        <f t="shared" si="0"/>
        <v>23200</v>
      </c>
      <c r="S13" s="166">
        <f t="shared" si="0"/>
        <v>46400</v>
      </c>
      <c r="T13" s="185">
        <f ca="1">SUM($H13:(OFFSET($H13,0,AVANCE060826!$T$2)))</f>
        <v>208800</v>
      </c>
      <c r="U13" s="918"/>
    </row>
    <row r="14" spans="1:21" ht="49.5" customHeight="1" x14ac:dyDescent="0.25">
      <c r="A14" s="750">
        <v>100902</v>
      </c>
      <c r="B14" s="637">
        <v>312401</v>
      </c>
      <c r="C14" s="638"/>
      <c r="D14" s="874"/>
      <c r="E14" s="873"/>
      <c r="F14" s="918"/>
      <c r="G14" s="166" t="s">
        <v>53</v>
      </c>
      <c r="H14" s="166"/>
      <c r="I14" s="166">
        <f t="shared" ref="I14:S14" si="1">VLOOKUP($A14&amp;$B14&amp;I$10,Base,9,FALSE)</f>
        <v>0</v>
      </c>
      <c r="J14" s="166">
        <f t="shared" si="1"/>
        <v>46399.99</v>
      </c>
      <c r="K14" s="166">
        <f t="shared" si="1"/>
        <v>23200</v>
      </c>
      <c r="L14" s="166">
        <f t="shared" si="1"/>
        <v>23200</v>
      </c>
      <c r="M14" s="166">
        <f t="shared" si="1"/>
        <v>23200</v>
      </c>
      <c r="N14" s="166">
        <f t="shared" si="1"/>
        <v>23200</v>
      </c>
      <c r="O14" s="166">
        <f t="shared" si="1"/>
        <v>23200</v>
      </c>
      <c r="P14" s="166">
        <f t="shared" si="1"/>
        <v>23200</v>
      </c>
      <c r="Q14" s="166">
        <f t="shared" si="1"/>
        <v>23200</v>
      </c>
      <c r="R14" s="166">
        <f t="shared" si="1"/>
        <v>0</v>
      </c>
      <c r="S14" s="166">
        <f t="shared" si="1"/>
        <v>0</v>
      </c>
      <c r="T14" s="185">
        <f t="shared" ref="T14:T34" si="2">SUM(H14:S14)</f>
        <v>208799.99</v>
      </c>
      <c r="U14" s="918"/>
    </row>
    <row r="15" spans="1:21" ht="82.5" customHeight="1" x14ac:dyDescent="0.25">
      <c r="A15" s="639">
        <v>900110</v>
      </c>
      <c r="B15" s="639">
        <v>319103</v>
      </c>
      <c r="C15" s="156" t="s">
        <v>848</v>
      </c>
      <c r="D15" s="874" t="s">
        <v>849</v>
      </c>
      <c r="E15" s="873" t="s">
        <v>190</v>
      </c>
      <c r="F15" s="918">
        <f>SUM(I15:S15)</f>
        <v>561229</v>
      </c>
      <c r="G15" s="166" t="s">
        <v>52</v>
      </c>
      <c r="H15" s="166"/>
      <c r="I15" s="166">
        <f t="shared" ref="I15:S15" si="3">VLOOKUP($A15&amp;$B15&amp;I$10,Base,8,FALSE)</f>
        <v>0</v>
      </c>
      <c r="J15" s="166">
        <f t="shared" si="3"/>
        <v>93538.04</v>
      </c>
      <c r="K15" s="166">
        <f t="shared" si="3"/>
        <v>46769.02</v>
      </c>
      <c r="L15" s="166">
        <f t="shared" si="3"/>
        <v>46769.02</v>
      </c>
      <c r="M15" s="166">
        <f t="shared" si="3"/>
        <v>46769.02</v>
      </c>
      <c r="N15" s="166">
        <f t="shared" si="3"/>
        <v>46769.02</v>
      </c>
      <c r="O15" s="166">
        <f t="shared" si="3"/>
        <v>46769.02</v>
      </c>
      <c r="P15" s="166">
        <f t="shared" si="3"/>
        <v>46769.02</v>
      </c>
      <c r="Q15" s="166">
        <f t="shared" si="3"/>
        <v>46777.84</v>
      </c>
      <c r="R15" s="166">
        <f t="shared" si="3"/>
        <v>46770</v>
      </c>
      <c r="S15" s="166">
        <f t="shared" si="3"/>
        <v>93529</v>
      </c>
      <c r="T15" s="185">
        <f ca="1">SUM($H15:(OFFSET($H15,0,AVANCE060826!$T$2)))</f>
        <v>420930</v>
      </c>
      <c r="U15" s="918"/>
    </row>
    <row r="16" spans="1:21" ht="82.5" customHeight="1" x14ac:dyDescent="0.25">
      <c r="A16" s="639">
        <v>900110</v>
      </c>
      <c r="B16" s="639">
        <v>319103</v>
      </c>
      <c r="C16" s="156"/>
      <c r="D16" s="874"/>
      <c r="E16" s="873"/>
      <c r="F16" s="918"/>
      <c r="G16" s="166" t="s">
        <v>53</v>
      </c>
      <c r="H16" s="166"/>
      <c r="I16" s="166">
        <f t="shared" ref="I16:S16" si="4">VLOOKUP($A16&amp;$B16&amp;I$10,Base,9,FALSE)</f>
        <v>0</v>
      </c>
      <c r="J16" s="166">
        <f t="shared" si="4"/>
        <v>93538.04</v>
      </c>
      <c r="K16" s="166">
        <f t="shared" si="4"/>
        <v>46769.02</v>
      </c>
      <c r="L16" s="166">
        <f t="shared" si="4"/>
        <v>46769.02</v>
      </c>
      <c r="M16" s="166">
        <f t="shared" si="4"/>
        <v>46769.02</v>
      </c>
      <c r="N16" s="166">
        <f t="shared" si="4"/>
        <v>46769.02</v>
      </c>
      <c r="O16" s="166">
        <f t="shared" si="4"/>
        <v>46769.02</v>
      </c>
      <c r="P16" s="166">
        <f t="shared" si="4"/>
        <v>46769.02</v>
      </c>
      <c r="Q16" s="166">
        <f t="shared" si="4"/>
        <v>46769.02</v>
      </c>
      <c r="R16" s="166">
        <f t="shared" si="4"/>
        <v>0</v>
      </c>
      <c r="S16" s="166">
        <f t="shared" si="4"/>
        <v>0</v>
      </c>
      <c r="T16" s="185">
        <f t="shared" si="2"/>
        <v>420921.18000000005</v>
      </c>
      <c r="U16" s="918"/>
    </row>
    <row r="17" spans="1:21" ht="78" customHeight="1" x14ac:dyDescent="0.25">
      <c r="A17" s="639">
        <v>900110</v>
      </c>
      <c r="B17" s="639">
        <v>319102</v>
      </c>
      <c r="C17" s="370" t="s">
        <v>850</v>
      </c>
      <c r="D17" s="874" t="s">
        <v>851</v>
      </c>
      <c r="E17" s="873" t="s">
        <v>190</v>
      </c>
      <c r="F17" s="918">
        <f>SUM(I17:S17)</f>
        <v>1322399.9999999998</v>
      </c>
      <c r="G17" s="166" t="s">
        <v>52</v>
      </c>
      <c r="H17" s="166"/>
      <c r="I17" s="166">
        <f t="shared" ref="I17:S17" si="5">VLOOKUP($A17&amp;$B17&amp;I$10,Base,8,FALSE)</f>
        <v>0</v>
      </c>
      <c r="J17" s="166">
        <f t="shared" si="5"/>
        <v>220399.87</v>
      </c>
      <c r="K17" s="166">
        <f t="shared" si="5"/>
        <v>110199.94</v>
      </c>
      <c r="L17" s="166">
        <f t="shared" si="5"/>
        <v>110199.94</v>
      </c>
      <c r="M17" s="166">
        <f t="shared" si="5"/>
        <v>110199.94</v>
      </c>
      <c r="N17" s="166">
        <f t="shared" si="5"/>
        <v>110199.94</v>
      </c>
      <c r="O17" s="166">
        <f t="shared" si="5"/>
        <v>110199.94</v>
      </c>
      <c r="P17" s="166">
        <f t="shared" si="5"/>
        <v>110199.94</v>
      </c>
      <c r="Q17" s="166">
        <f t="shared" si="5"/>
        <v>110200.49</v>
      </c>
      <c r="R17" s="166">
        <f t="shared" si="5"/>
        <v>110200</v>
      </c>
      <c r="S17" s="166">
        <f t="shared" si="5"/>
        <v>220400</v>
      </c>
      <c r="T17" s="185">
        <f ca="1">SUM($H17:(OFFSET($H17,0,AVANCE060826!$T$2)))</f>
        <v>991799.99999999977</v>
      </c>
      <c r="U17" s="918"/>
    </row>
    <row r="18" spans="1:21" ht="78" customHeight="1" x14ac:dyDescent="0.25">
      <c r="A18" s="639">
        <v>900110</v>
      </c>
      <c r="B18" s="639">
        <v>319102</v>
      </c>
      <c r="C18" s="370"/>
      <c r="D18" s="874"/>
      <c r="E18" s="873"/>
      <c r="F18" s="918"/>
      <c r="G18" s="166" t="s">
        <v>53</v>
      </c>
      <c r="H18" s="166"/>
      <c r="I18" s="166">
        <f t="shared" ref="I18:S18" si="6">VLOOKUP($A18&amp;$B18&amp;I$10,Base,9,FALSE)</f>
        <v>0</v>
      </c>
      <c r="J18" s="166">
        <f t="shared" si="6"/>
        <v>220399.87</v>
      </c>
      <c r="K18" s="166">
        <f t="shared" si="6"/>
        <v>110199.94</v>
      </c>
      <c r="L18" s="166">
        <f t="shared" si="6"/>
        <v>110199.94</v>
      </c>
      <c r="M18" s="166">
        <f t="shared" si="6"/>
        <v>110199.94</v>
      </c>
      <c r="N18" s="166">
        <f t="shared" si="6"/>
        <v>110199.94</v>
      </c>
      <c r="O18" s="166">
        <f t="shared" si="6"/>
        <v>110199.94</v>
      </c>
      <c r="P18" s="166">
        <f t="shared" si="6"/>
        <v>110199.94</v>
      </c>
      <c r="Q18" s="166">
        <f t="shared" si="6"/>
        <v>110199.94</v>
      </c>
      <c r="R18" s="166">
        <f t="shared" si="6"/>
        <v>0</v>
      </c>
      <c r="S18" s="166">
        <f t="shared" si="6"/>
        <v>0</v>
      </c>
      <c r="T18" s="185">
        <f t="shared" si="2"/>
        <v>991799.44999999972</v>
      </c>
      <c r="U18" s="918"/>
    </row>
    <row r="19" spans="1:21" ht="77.25" customHeight="1" x14ac:dyDescent="0.25">
      <c r="A19" s="639">
        <v>140100</v>
      </c>
      <c r="B19" s="639">
        <v>319001</v>
      </c>
      <c r="C19" s="638" t="s">
        <v>852</v>
      </c>
      <c r="D19" s="874" t="s">
        <v>853</v>
      </c>
      <c r="E19" s="873" t="s">
        <v>239</v>
      </c>
      <c r="F19" s="918">
        <f>SUM(I19:S19)</f>
        <v>727603.5</v>
      </c>
      <c r="G19" s="166" t="s">
        <v>52</v>
      </c>
      <c r="H19" s="166"/>
      <c r="I19" s="166">
        <f t="shared" ref="I19:S19" si="7">VLOOKUP($A19&amp;$B19&amp;I$10,Base,8,FALSE)</f>
        <v>55770.1</v>
      </c>
      <c r="J19" s="166">
        <f t="shared" si="7"/>
        <v>55770.1</v>
      </c>
      <c r="K19" s="166">
        <f t="shared" si="7"/>
        <v>55770.1</v>
      </c>
      <c r="L19" s="166">
        <f t="shared" si="7"/>
        <v>55770.1</v>
      </c>
      <c r="M19" s="166">
        <f t="shared" si="7"/>
        <v>55770.1</v>
      </c>
      <c r="N19" s="166">
        <f t="shared" si="7"/>
        <v>55770.1</v>
      </c>
      <c r="O19" s="166">
        <f t="shared" si="7"/>
        <v>55770.1</v>
      </c>
      <c r="P19" s="166">
        <f t="shared" si="7"/>
        <v>67442.36</v>
      </c>
      <c r="Q19" s="166">
        <f t="shared" si="7"/>
        <v>67450.539999999994</v>
      </c>
      <c r="R19" s="166">
        <f t="shared" si="7"/>
        <v>67443.3</v>
      </c>
      <c r="S19" s="166">
        <f t="shared" si="7"/>
        <v>134876.6</v>
      </c>
      <c r="T19" s="185">
        <f ca="1">SUM($H19:(OFFSET($H19,0,AVANCE060826!$T$2)))</f>
        <v>525283.6</v>
      </c>
      <c r="U19" s="918"/>
    </row>
    <row r="20" spans="1:21" ht="77.25" customHeight="1" x14ac:dyDescent="0.25">
      <c r="A20" s="639">
        <v>140100</v>
      </c>
      <c r="B20" s="639">
        <v>319001</v>
      </c>
      <c r="C20" s="638"/>
      <c r="D20" s="874"/>
      <c r="E20" s="873"/>
      <c r="F20" s="918"/>
      <c r="G20" s="166" t="s">
        <v>53</v>
      </c>
      <c r="H20" s="166"/>
      <c r="I20" s="166">
        <f t="shared" ref="I20:S20" si="8">VLOOKUP($A20&amp;$B20&amp;I$10,Base,9,FALSE)</f>
        <v>55770.1</v>
      </c>
      <c r="J20" s="166">
        <f t="shared" si="8"/>
        <v>55770.1</v>
      </c>
      <c r="K20" s="166">
        <f t="shared" si="8"/>
        <v>55770.1</v>
      </c>
      <c r="L20" s="166">
        <f t="shared" si="8"/>
        <v>55770.1</v>
      </c>
      <c r="M20" s="166">
        <f t="shared" si="8"/>
        <v>55770.1</v>
      </c>
      <c r="N20" s="166">
        <f t="shared" si="8"/>
        <v>55770.1</v>
      </c>
      <c r="O20" s="166">
        <f t="shared" si="8"/>
        <v>55770.1</v>
      </c>
      <c r="P20" s="166">
        <f t="shared" si="8"/>
        <v>67442.36</v>
      </c>
      <c r="Q20" s="166">
        <f t="shared" si="8"/>
        <v>67442.36</v>
      </c>
      <c r="R20" s="166">
        <f t="shared" si="8"/>
        <v>0</v>
      </c>
      <c r="S20" s="166">
        <f t="shared" si="8"/>
        <v>0</v>
      </c>
      <c r="T20" s="185">
        <f t="shared" si="2"/>
        <v>525275.41999999993</v>
      </c>
      <c r="U20" s="918"/>
    </row>
    <row r="21" spans="1:21" ht="53.25" customHeight="1" x14ac:dyDescent="0.25">
      <c r="A21" s="752">
        <v>910120</v>
      </c>
      <c r="B21" s="639">
        <v>310401</v>
      </c>
      <c r="C21" s="638" t="s">
        <v>854</v>
      </c>
      <c r="D21" s="873" t="s">
        <v>855</v>
      </c>
      <c r="E21" s="873" t="s">
        <v>239</v>
      </c>
      <c r="F21" s="918">
        <f>SUM(I21:S21)</f>
        <v>49347</v>
      </c>
      <c r="G21" s="166" t="s">
        <v>52</v>
      </c>
      <c r="H21" s="166"/>
      <c r="I21" s="166">
        <f t="shared" ref="I21:S21" si="9">VLOOKUP($A21&amp;$B21&amp;I$10,Base,8,FALSE)</f>
        <v>0</v>
      </c>
      <c r="J21" s="166">
        <f t="shared" si="9"/>
        <v>0</v>
      </c>
      <c r="K21" s="166">
        <f t="shared" si="9"/>
        <v>12336.62</v>
      </c>
      <c r="L21" s="166">
        <f t="shared" si="9"/>
        <v>4112.2</v>
      </c>
      <c r="M21" s="166">
        <f t="shared" si="9"/>
        <v>0</v>
      </c>
      <c r="N21" s="166">
        <f t="shared" si="9"/>
        <v>8224.42</v>
      </c>
      <c r="O21" s="166">
        <f t="shared" si="9"/>
        <v>4112.2</v>
      </c>
      <c r="P21" s="166">
        <f t="shared" si="9"/>
        <v>4112.2</v>
      </c>
      <c r="Q21" s="166">
        <f t="shared" si="9"/>
        <v>4119.3599999999997</v>
      </c>
      <c r="R21" s="166">
        <f t="shared" si="9"/>
        <v>4113</v>
      </c>
      <c r="S21" s="166">
        <f t="shared" si="9"/>
        <v>8217</v>
      </c>
      <c r="T21" s="185">
        <f ca="1">SUM($H21:(OFFSET($H21,0,AVANCE060826!$T$2)))</f>
        <v>37017</v>
      </c>
      <c r="U21" s="918"/>
    </row>
    <row r="22" spans="1:21" ht="53.25" customHeight="1" x14ac:dyDescent="0.25">
      <c r="A22" s="752">
        <v>910120</v>
      </c>
      <c r="B22" s="639">
        <v>310401</v>
      </c>
      <c r="C22" s="638"/>
      <c r="D22" s="873"/>
      <c r="E22" s="873"/>
      <c r="F22" s="918"/>
      <c r="G22" s="166" t="s">
        <v>53</v>
      </c>
      <c r="H22" s="166"/>
      <c r="I22" s="166">
        <f t="shared" ref="I22:S22" si="10">VLOOKUP($A22&amp;$B22&amp;I$10,Base,9,FALSE)</f>
        <v>0</v>
      </c>
      <c r="J22" s="166">
        <f t="shared" si="10"/>
        <v>0</v>
      </c>
      <c r="K22" s="166">
        <f t="shared" si="10"/>
        <v>12336.62</v>
      </c>
      <c r="L22" s="166">
        <f t="shared" si="10"/>
        <v>4112.2</v>
      </c>
      <c r="M22" s="166">
        <f t="shared" si="10"/>
        <v>0</v>
      </c>
      <c r="N22" s="166">
        <f t="shared" si="10"/>
        <v>8224.42</v>
      </c>
      <c r="O22" s="166">
        <f t="shared" si="10"/>
        <v>4112.2</v>
      </c>
      <c r="P22" s="166">
        <f t="shared" si="10"/>
        <v>4112.2</v>
      </c>
      <c r="Q22" s="166">
        <f t="shared" si="10"/>
        <v>4112.2</v>
      </c>
      <c r="R22" s="166">
        <f t="shared" si="10"/>
        <v>0</v>
      </c>
      <c r="S22" s="166">
        <f t="shared" si="10"/>
        <v>0</v>
      </c>
      <c r="T22" s="185">
        <f t="shared" si="2"/>
        <v>37009.839999999997</v>
      </c>
      <c r="U22" s="918"/>
    </row>
    <row r="23" spans="1:21" ht="60" customHeight="1" x14ac:dyDescent="0.25">
      <c r="A23" s="639">
        <v>380200</v>
      </c>
      <c r="B23" s="639">
        <v>315901</v>
      </c>
      <c r="C23" s="156" t="s">
        <v>852</v>
      </c>
      <c r="D23" s="873" t="s">
        <v>856</v>
      </c>
      <c r="E23" s="873" t="s">
        <v>857</v>
      </c>
      <c r="F23" s="918">
        <f>SUM(I23:S23)</f>
        <v>724258</v>
      </c>
      <c r="G23" s="166" t="s">
        <v>52</v>
      </c>
      <c r="H23" s="166"/>
      <c r="I23" s="166">
        <f t="shared" ref="I23:S23" si="11">VLOOKUP($A23&amp;$B23&amp;I$10,Base,8,FALSE)</f>
        <v>52029.98</v>
      </c>
      <c r="J23" s="166">
        <f t="shared" si="11"/>
        <v>52029.98</v>
      </c>
      <c r="K23" s="166">
        <f t="shared" si="11"/>
        <v>52029.98</v>
      </c>
      <c r="L23" s="166">
        <f t="shared" si="11"/>
        <v>52029.98</v>
      </c>
      <c r="M23" s="166">
        <f t="shared" si="11"/>
        <v>60354.77</v>
      </c>
      <c r="N23" s="166">
        <f t="shared" si="11"/>
        <v>60354.77</v>
      </c>
      <c r="O23" s="166">
        <f t="shared" si="11"/>
        <v>60354.77</v>
      </c>
      <c r="P23" s="166">
        <f t="shared" si="11"/>
        <v>60354.77</v>
      </c>
      <c r="Q23" s="166">
        <f t="shared" si="11"/>
        <v>93656</v>
      </c>
      <c r="R23" s="166">
        <f t="shared" si="11"/>
        <v>60355</v>
      </c>
      <c r="S23" s="166">
        <f t="shared" si="11"/>
        <v>120708</v>
      </c>
      <c r="T23" s="185">
        <f ca="1">SUM($H23:(OFFSET($H23,0,AVANCE060826!$T$2)))</f>
        <v>543195</v>
      </c>
      <c r="U23" s="918"/>
    </row>
    <row r="24" spans="1:21" ht="60" customHeight="1" x14ac:dyDescent="0.25">
      <c r="A24" s="639">
        <v>380200</v>
      </c>
      <c r="B24" s="639">
        <v>315901</v>
      </c>
      <c r="C24" s="156"/>
      <c r="D24" s="873"/>
      <c r="E24" s="873"/>
      <c r="F24" s="918"/>
      <c r="G24" s="166" t="s">
        <v>53</v>
      </c>
      <c r="H24" s="166"/>
      <c r="I24" s="166">
        <f t="shared" ref="I24:S24" si="12">VLOOKUP($A24&amp;$B24&amp;I$10,Base,9,FALSE)</f>
        <v>52029.98</v>
      </c>
      <c r="J24" s="166">
        <f t="shared" si="12"/>
        <v>52029.98</v>
      </c>
      <c r="K24" s="166">
        <f t="shared" si="12"/>
        <v>52029.98</v>
      </c>
      <c r="L24" s="166">
        <f t="shared" si="12"/>
        <v>52029.98</v>
      </c>
      <c r="M24" s="166">
        <f t="shared" si="12"/>
        <v>60354.77</v>
      </c>
      <c r="N24" s="166">
        <f t="shared" si="12"/>
        <v>60354.77</v>
      </c>
      <c r="O24" s="166">
        <f t="shared" si="12"/>
        <v>60354.77</v>
      </c>
      <c r="P24" s="166">
        <f t="shared" si="12"/>
        <v>60354.77</v>
      </c>
      <c r="Q24" s="166">
        <f t="shared" si="12"/>
        <v>60354.77</v>
      </c>
      <c r="R24" s="166">
        <f t="shared" si="12"/>
        <v>0</v>
      </c>
      <c r="S24" s="166">
        <f t="shared" si="12"/>
        <v>0</v>
      </c>
      <c r="T24" s="185">
        <f t="shared" si="2"/>
        <v>509893.77000000008</v>
      </c>
      <c r="U24" s="918"/>
    </row>
    <row r="25" spans="1:21" ht="66.75" customHeight="1" x14ac:dyDescent="0.25">
      <c r="A25" s="640">
        <v>380200</v>
      </c>
      <c r="B25" s="640">
        <v>315904</v>
      </c>
      <c r="C25" s="25"/>
      <c r="D25" s="873" t="s">
        <v>858</v>
      </c>
      <c r="E25" s="873" t="s">
        <v>859</v>
      </c>
      <c r="F25" s="918">
        <f>SUM(I25:S25)</f>
        <v>612480</v>
      </c>
      <c r="G25" s="166" t="s">
        <v>52</v>
      </c>
      <c r="H25" s="166"/>
      <c r="I25" s="166">
        <f t="shared" ref="I25:S25" si="13">VLOOKUP($A25&amp;$B25&amp;I$10,Base,8,FALSE)</f>
        <v>51040</v>
      </c>
      <c r="J25" s="166">
        <f t="shared" si="13"/>
        <v>51040</v>
      </c>
      <c r="K25" s="166">
        <f t="shared" si="13"/>
        <v>0</v>
      </c>
      <c r="L25" s="166">
        <f t="shared" si="13"/>
        <v>102080</v>
      </c>
      <c r="M25" s="166">
        <f t="shared" si="13"/>
        <v>51040</v>
      </c>
      <c r="N25" s="166">
        <f t="shared" si="13"/>
        <v>51040</v>
      </c>
      <c r="O25" s="166">
        <f t="shared" si="13"/>
        <v>51040</v>
      </c>
      <c r="P25" s="166">
        <f t="shared" si="13"/>
        <v>51040</v>
      </c>
      <c r="Q25" s="166">
        <f t="shared" si="13"/>
        <v>51040</v>
      </c>
      <c r="R25" s="166">
        <f t="shared" si="13"/>
        <v>51040</v>
      </c>
      <c r="S25" s="166">
        <f t="shared" si="13"/>
        <v>102080</v>
      </c>
      <c r="T25" s="185">
        <f ca="1">SUM($H25:(OFFSET($H25,0,AVANCE060826!$T$2)))</f>
        <v>459360</v>
      </c>
      <c r="U25" s="918"/>
    </row>
    <row r="26" spans="1:21" ht="66.75" customHeight="1" x14ac:dyDescent="0.25">
      <c r="A26" s="640">
        <v>380200</v>
      </c>
      <c r="B26" s="640">
        <v>315904</v>
      </c>
      <c r="C26" s="25"/>
      <c r="D26" s="873"/>
      <c r="E26" s="873"/>
      <c r="F26" s="918"/>
      <c r="G26" s="166" t="s">
        <v>53</v>
      </c>
      <c r="H26" s="166"/>
      <c r="I26" s="166">
        <f t="shared" ref="I26:S26" si="14">VLOOKUP($A26&amp;$B26&amp;I$10,Base,9,FALSE)</f>
        <v>51040</v>
      </c>
      <c r="J26" s="166">
        <f t="shared" si="14"/>
        <v>51040</v>
      </c>
      <c r="K26" s="166">
        <f t="shared" si="14"/>
        <v>0</v>
      </c>
      <c r="L26" s="166">
        <f t="shared" si="14"/>
        <v>102080</v>
      </c>
      <c r="M26" s="166">
        <f t="shared" si="14"/>
        <v>51040</v>
      </c>
      <c r="N26" s="166">
        <f t="shared" si="14"/>
        <v>51040</v>
      </c>
      <c r="O26" s="166">
        <f t="shared" si="14"/>
        <v>51040</v>
      </c>
      <c r="P26" s="166">
        <f t="shared" si="14"/>
        <v>51040</v>
      </c>
      <c r="Q26" s="166">
        <f t="shared" si="14"/>
        <v>51040</v>
      </c>
      <c r="R26" s="166">
        <f t="shared" si="14"/>
        <v>0</v>
      </c>
      <c r="S26" s="166">
        <f t="shared" si="14"/>
        <v>0</v>
      </c>
      <c r="T26" s="185">
        <f t="shared" si="2"/>
        <v>459360</v>
      </c>
      <c r="U26" s="918"/>
    </row>
    <row r="27" spans="1:21" ht="61.5" customHeight="1" x14ac:dyDescent="0.25">
      <c r="A27" s="753">
        <v>900110</v>
      </c>
      <c r="B27" s="639">
        <v>319104</v>
      </c>
      <c r="C27" s="156"/>
      <c r="D27" s="873" t="s">
        <v>860</v>
      </c>
      <c r="E27" s="873" t="s">
        <v>286</v>
      </c>
      <c r="F27" s="918">
        <f>SUM(I27:S27)</f>
        <v>5420950</v>
      </c>
      <c r="G27" s="166" t="s">
        <v>52</v>
      </c>
      <c r="H27" s="166"/>
      <c r="I27" s="166">
        <f t="shared" ref="I27:S27" si="15">VLOOKUP($A27&amp;$B27&amp;I$10,Base,8,FALSE)</f>
        <v>0</v>
      </c>
      <c r="J27" s="166">
        <f t="shared" si="15"/>
        <v>0</v>
      </c>
      <c r="K27" s="166">
        <f t="shared" si="15"/>
        <v>903491.52</v>
      </c>
      <c r="L27" s="166">
        <f t="shared" si="15"/>
        <v>0</v>
      </c>
      <c r="M27" s="166">
        <f t="shared" si="15"/>
        <v>451745.76</v>
      </c>
      <c r="N27" s="166">
        <f t="shared" si="15"/>
        <v>903491.52</v>
      </c>
      <c r="O27" s="166">
        <f t="shared" si="15"/>
        <v>0</v>
      </c>
      <c r="P27" s="166">
        <f t="shared" si="15"/>
        <v>1355237.28</v>
      </c>
      <c r="Q27" s="166">
        <f t="shared" si="15"/>
        <v>451747.92</v>
      </c>
      <c r="R27" s="166">
        <f t="shared" si="15"/>
        <v>451746</v>
      </c>
      <c r="S27" s="166">
        <f t="shared" si="15"/>
        <v>903490</v>
      </c>
      <c r="T27" s="185">
        <f ca="1">SUM($H27:(OFFSET($H27,0,AVANCE060826!$T$2)))</f>
        <v>4065714</v>
      </c>
      <c r="U27" s="918"/>
    </row>
    <row r="28" spans="1:21" ht="61.5" customHeight="1" x14ac:dyDescent="0.25">
      <c r="A28" s="753">
        <v>900110</v>
      </c>
      <c r="B28" s="639">
        <v>319104</v>
      </c>
      <c r="C28" s="156"/>
      <c r="D28" s="873"/>
      <c r="E28" s="873"/>
      <c r="F28" s="918"/>
      <c r="G28" s="166" t="s">
        <v>53</v>
      </c>
      <c r="H28" s="166"/>
      <c r="I28" s="166">
        <f t="shared" ref="I28:S28" si="16">VLOOKUP($A28&amp;$B28&amp;I$10,Base,9,FALSE)</f>
        <v>0</v>
      </c>
      <c r="J28" s="166">
        <f t="shared" si="16"/>
        <v>0</v>
      </c>
      <c r="K28" s="166">
        <f t="shared" si="16"/>
        <v>903491.52</v>
      </c>
      <c r="L28" s="166">
        <f t="shared" si="16"/>
        <v>0</v>
      </c>
      <c r="M28" s="166">
        <f t="shared" si="16"/>
        <v>451745.76</v>
      </c>
      <c r="N28" s="166">
        <f t="shared" si="16"/>
        <v>903491.52</v>
      </c>
      <c r="O28" s="166">
        <f t="shared" si="16"/>
        <v>0</v>
      </c>
      <c r="P28" s="166">
        <f t="shared" si="16"/>
        <v>1355237.28</v>
      </c>
      <c r="Q28" s="166">
        <f t="shared" si="16"/>
        <v>451745.76</v>
      </c>
      <c r="R28" s="166">
        <f t="shared" si="16"/>
        <v>0</v>
      </c>
      <c r="S28" s="166">
        <f t="shared" si="16"/>
        <v>0</v>
      </c>
      <c r="T28" s="185">
        <f t="shared" si="2"/>
        <v>4065711.84</v>
      </c>
      <c r="U28" s="918"/>
    </row>
    <row r="29" spans="1:21" ht="61.5" customHeight="1" x14ac:dyDescent="0.25">
      <c r="A29" s="641">
        <v>150900</v>
      </c>
      <c r="B29" s="639">
        <v>318001</v>
      </c>
      <c r="C29" s="156"/>
      <c r="D29" s="873" t="s">
        <v>861</v>
      </c>
      <c r="E29" s="873" t="s">
        <v>862</v>
      </c>
      <c r="F29" s="918">
        <f>SUM(I29:S29)</f>
        <v>2324640</v>
      </c>
      <c r="G29" s="166" t="s">
        <v>52</v>
      </c>
      <c r="H29" s="166"/>
      <c r="I29" s="166">
        <f t="shared" ref="I29:S29" si="17">VLOOKUP($A29&amp;$B29&amp;I$10,Base,8,FALSE)</f>
        <v>0</v>
      </c>
      <c r="J29" s="166">
        <f t="shared" si="17"/>
        <v>387439.79</v>
      </c>
      <c r="K29" s="166">
        <f t="shared" si="17"/>
        <v>193719.9</v>
      </c>
      <c r="L29" s="166">
        <f t="shared" si="17"/>
        <v>193719.9</v>
      </c>
      <c r="M29" s="166">
        <f t="shared" si="17"/>
        <v>193719.9</v>
      </c>
      <c r="N29" s="166">
        <f t="shared" si="17"/>
        <v>193719.9</v>
      </c>
      <c r="O29" s="166">
        <f t="shared" si="17"/>
        <v>193719.9</v>
      </c>
      <c r="P29" s="166">
        <f t="shared" si="17"/>
        <v>193719.9</v>
      </c>
      <c r="Q29" s="166">
        <f t="shared" si="17"/>
        <v>193720.81</v>
      </c>
      <c r="R29" s="166">
        <f t="shared" si="17"/>
        <v>193720</v>
      </c>
      <c r="S29" s="166">
        <f t="shared" si="17"/>
        <v>387440</v>
      </c>
      <c r="T29" s="185">
        <f ca="1">SUM($H29:(OFFSET($H29,0,AVANCE060826!$T$2)))</f>
        <v>1743479.9999999998</v>
      </c>
      <c r="U29" s="166"/>
    </row>
    <row r="30" spans="1:21" ht="61.5" customHeight="1" x14ac:dyDescent="0.25">
      <c r="A30" s="641">
        <v>150900</v>
      </c>
      <c r="B30" s="639">
        <v>318001</v>
      </c>
      <c r="C30" s="156"/>
      <c r="D30" s="873"/>
      <c r="E30" s="873"/>
      <c r="F30" s="918"/>
      <c r="G30" s="166" t="s">
        <v>53</v>
      </c>
      <c r="H30" s="166"/>
      <c r="I30" s="166">
        <f t="shared" ref="I30:S30" si="18">VLOOKUP($A30&amp;$B30&amp;I$10,Base,9,FALSE)</f>
        <v>0</v>
      </c>
      <c r="J30" s="166">
        <f t="shared" si="18"/>
        <v>387439.79</v>
      </c>
      <c r="K30" s="166">
        <f t="shared" si="18"/>
        <v>193719.9</v>
      </c>
      <c r="L30" s="166">
        <f t="shared" si="18"/>
        <v>193719.9</v>
      </c>
      <c r="M30" s="166">
        <f t="shared" si="18"/>
        <v>193719.9</v>
      </c>
      <c r="N30" s="166">
        <f t="shared" si="18"/>
        <v>193719.9</v>
      </c>
      <c r="O30" s="166">
        <f t="shared" si="18"/>
        <v>193719.9</v>
      </c>
      <c r="P30" s="166">
        <f t="shared" si="18"/>
        <v>193719.9</v>
      </c>
      <c r="Q30" s="166">
        <f t="shared" si="18"/>
        <v>193719.9</v>
      </c>
      <c r="R30" s="166">
        <f t="shared" si="18"/>
        <v>0</v>
      </c>
      <c r="S30" s="166">
        <f t="shared" si="18"/>
        <v>0</v>
      </c>
      <c r="T30" s="185">
        <f t="shared" si="2"/>
        <v>1743479.0899999996</v>
      </c>
      <c r="U30" s="166"/>
    </row>
    <row r="31" spans="1:21" ht="61.5" customHeight="1" x14ac:dyDescent="0.25">
      <c r="A31" s="273">
        <v>73100</v>
      </c>
      <c r="B31" s="272" t="s">
        <v>87</v>
      </c>
      <c r="C31" s="156"/>
      <c r="D31" s="873" t="s">
        <v>863</v>
      </c>
      <c r="E31" s="873" t="s">
        <v>864</v>
      </c>
      <c r="F31" s="918">
        <f>SUM(I31:S31)</f>
        <v>214536</v>
      </c>
      <c r="G31" s="166" t="s">
        <v>52</v>
      </c>
      <c r="H31" s="166"/>
      <c r="I31" s="166">
        <f t="shared" ref="I31:S31" si="19">VLOOKUP($A31&amp;$B31&amp;I$10,Base,8,FALSE)</f>
        <v>17877.97</v>
      </c>
      <c r="J31" s="166">
        <f t="shared" si="19"/>
        <v>17877.97</v>
      </c>
      <c r="K31" s="166">
        <f t="shared" si="19"/>
        <v>17877.97</v>
      </c>
      <c r="L31" s="166">
        <f t="shared" si="19"/>
        <v>17877.97</v>
      </c>
      <c r="M31" s="166">
        <f t="shared" si="19"/>
        <v>17877.97</v>
      </c>
      <c r="N31" s="166">
        <f t="shared" si="19"/>
        <v>17877.97</v>
      </c>
      <c r="O31" s="166">
        <f t="shared" si="19"/>
        <v>17877.97</v>
      </c>
      <c r="P31" s="166">
        <f t="shared" si="19"/>
        <v>17877.97</v>
      </c>
      <c r="Q31" s="166">
        <f t="shared" si="19"/>
        <v>17878.240000000002</v>
      </c>
      <c r="R31" s="166">
        <f t="shared" si="19"/>
        <v>17878</v>
      </c>
      <c r="S31" s="166">
        <f t="shared" si="19"/>
        <v>35756</v>
      </c>
      <c r="T31" s="185">
        <f ca="1">SUM($H31:(OFFSET($H31,0,AVANCE060826!$T$2)))</f>
        <v>160902</v>
      </c>
      <c r="U31" s="166"/>
    </row>
    <row r="32" spans="1:21" ht="61.5" customHeight="1" x14ac:dyDescent="0.25">
      <c r="A32" s="273">
        <v>73100</v>
      </c>
      <c r="B32" s="272" t="s">
        <v>87</v>
      </c>
      <c r="C32" s="156"/>
      <c r="D32" s="873"/>
      <c r="E32" s="873"/>
      <c r="F32" s="918"/>
      <c r="G32" s="166" t="s">
        <v>53</v>
      </c>
      <c r="H32" s="166"/>
      <c r="I32" s="166">
        <f t="shared" ref="I32:S32" si="20">VLOOKUP($A32&amp;$B32&amp;I$10,Base,9,FALSE)</f>
        <v>17877.97</v>
      </c>
      <c r="J32" s="166">
        <f t="shared" si="20"/>
        <v>17877.97</v>
      </c>
      <c r="K32" s="166">
        <f t="shared" si="20"/>
        <v>17877.97</v>
      </c>
      <c r="L32" s="166">
        <f t="shared" si="20"/>
        <v>17877.97</v>
      </c>
      <c r="M32" s="166">
        <f t="shared" si="20"/>
        <v>17877.97</v>
      </c>
      <c r="N32" s="166">
        <f t="shared" si="20"/>
        <v>17877.97</v>
      </c>
      <c r="O32" s="166">
        <f t="shared" si="20"/>
        <v>17877.97</v>
      </c>
      <c r="P32" s="166">
        <f t="shared" si="20"/>
        <v>17877.97</v>
      </c>
      <c r="Q32" s="166">
        <f t="shared" si="20"/>
        <v>17877.97</v>
      </c>
      <c r="R32" s="166">
        <f t="shared" si="20"/>
        <v>0</v>
      </c>
      <c r="S32" s="166">
        <f t="shared" si="20"/>
        <v>0</v>
      </c>
      <c r="T32" s="185">
        <f t="shared" si="2"/>
        <v>160901.73000000001</v>
      </c>
      <c r="U32" s="166"/>
    </row>
    <row r="33" spans="1:21" ht="61.5" customHeight="1" x14ac:dyDescent="0.25">
      <c r="A33" s="754">
        <v>73110</v>
      </c>
      <c r="B33" s="272">
        <v>319302</v>
      </c>
      <c r="C33" s="156"/>
      <c r="D33" s="873" t="s">
        <v>865</v>
      </c>
      <c r="E33" s="873" t="s">
        <v>255</v>
      </c>
      <c r="F33" s="918">
        <f>SUM(I33:S33)</f>
        <v>192096</v>
      </c>
      <c r="G33" s="166" t="s">
        <v>52</v>
      </c>
      <c r="H33" s="166"/>
      <c r="I33" s="166">
        <f t="shared" ref="I33:S33" si="21">VLOOKUP($A33&amp;$B33&amp;I$10,Base,8,FALSE)</f>
        <v>0</v>
      </c>
      <c r="J33" s="166">
        <f t="shared" si="21"/>
        <v>32016</v>
      </c>
      <c r="K33" s="166">
        <f t="shared" si="21"/>
        <v>0</v>
      </c>
      <c r="L33" s="166">
        <f t="shared" si="21"/>
        <v>32016</v>
      </c>
      <c r="M33" s="166">
        <f t="shared" si="21"/>
        <v>0</v>
      </c>
      <c r="N33" s="166">
        <f t="shared" si="21"/>
        <v>32016</v>
      </c>
      <c r="O33" s="166">
        <f t="shared" si="21"/>
        <v>16008</v>
      </c>
      <c r="P33" s="166">
        <f t="shared" si="21"/>
        <v>16008</v>
      </c>
      <c r="Q33" s="166">
        <f t="shared" si="21"/>
        <v>16008</v>
      </c>
      <c r="R33" s="166">
        <f t="shared" si="21"/>
        <v>16008</v>
      </c>
      <c r="S33" s="166">
        <f t="shared" si="21"/>
        <v>32016</v>
      </c>
      <c r="T33" s="185">
        <f ca="1">SUM($H33:(OFFSET($H33,0,AVANCE060826!$T$2)))</f>
        <v>144072</v>
      </c>
      <c r="U33" s="918"/>
    </row>
    <row r="34" spans="1:21" ht="61.5" customHeight="1" x14ac:dyDescent="0.25">
      <c r="A34" s="754">
        <v>73110</v>
      </c>
      <c r="B34" s="272">
        <v>319302</v>
      </c>
      <c r="C34" s="156"/>
      <c r="D34" s="873"/>
      <c r="E34" s="873"/>
      <c r="F34" s="918"/>
      <c r="G34" s="166" t="s">
        <v>53</v>
      </c>
      <c r="H34" s="166"/>
      <c r="I34" s="166">
        <f t="shared" ref="I34:S34" si="22">VLOOKUP($A34&amp;$B34&amp;I$10,Base,9,FALSE)</f>
        <v>0</v>
      </c>
      <c r="J34" s="166">
        <f t="shared" si="22"/>
        <v>32016</v>
      </c>
      <c r="K34" s="166">
        <f t="shared" si="22"/>
        <v>0</v>
      </c>
      <c r="L34" s="166">
        <f t="shared" si="22"/>
        <v>32016</v>
      </c>
      <c r="M34" s="166">
        <f t="shared" si="22"/>
        <v>0</v>
      </c>
      <c r="N34" s="166">
        <f t="shared" si="22"/>
        <v>32016</v>
      </c>
      <c r="O34" s="166">
        <f t="shared" si="22"/>
        <v>16008</v>
      </c>
      <c r="P34" s="166">
        <f t="shared" si="22"/>
        <v>16008</v>
      </c>
      <c r="Q34" s="166">
        <f t="shared" si="22"/>
        <v>16007.99</v>
      </c>
      <c r="R34" s="166">
        <f t="shared" si="22"/>
        <v>0</v>
      </c>
      <c r="S34" s="166">
        <f t="shared" si="22"/>
        <v>0</v>
      </c>
      <c r="T34" s="185">
        <f t="shared" si="2"/>
        <v>144071.99</v>
      </c>
      <c r="U34" s="918"/>
    </row>
    <row r="35" spans="1:21" ht="15.75" thickBot="1" x14ac:dyDescent="0.3">
      <c r="A35" s="4">
        <v>9</v>
      </c>
      <c r="B35" s="4"/>
      <c r="C35" s="24">
        <f>COUNT(#REF!)</f>
        <v>0</v>
      </c>
      <c r="D35" s="7"/>
      <c r="E35" s="623"/>
      <c r="F35" s="32">
        <f>SUM(F13:F34)</f>
        <v>12427939.5</v>
      </c>
      <c r="G35" s="166" t="s">
        <v>52</v>
      </c>
      <c r="H35" s="176">
        <f>+H13+H15+H17+H19+H21+H23+H25+H27+H29+H31+H33</f>
        <v>0</v>
      </c>
      <c r="I35" s="176">
        <f t="shared" ref="I35:T35" si="23">+I13+I15+I17+I19+I21+I23+I25+I27+I29+I31+I33</f>
        <v>176718.05000000002</v>
      </c>
      <c r="J35" s="176">
        <f t="shared" si="23"/>
        <v>956511.74</v>
      </c>
      <c r="K35" s="176">
        <f t="shared" si="23"/>
        <v>1415395.0499999998</v>
      </c>
      <c r="L35" s="176">
        <f t="shared" si="23"/>
        <v>637775.11</v>
      </c>
      <c r="M35" s="176">
        <f t="shared" si="23"/>
        <v>1010677.4600000001</v>
      </c>
      <c r="N35" s="176">
        <f t="shared" si="23"/>
        <v>1502663.64</v>
      </c>
      <c r="O35" s="176">
        <f t="shared" si="23"/>
        <v>579051.9</v>
      </c>
      <c r="P35" s="176">
        <f t="shared" si="23"/>
        <v>1945961.44</v>
      </c>
      <c r="Q35" s="176">
        <f t="shared" si="23"/>
        <v>1075799.21</v>
      </c>
      <c r="R35" s="176">
        <f t="shared" si="23"/>
        <v>1042473.3</v>
      </c>
      <c r="S35" s="176">
        <f t="shared" si="23"/>
        <v>2084912.6</v>
      </c>
      <c r="T35" s="176">
        <f t="shared" ca="1" si="23"/>
        <v>9300553.5999999996</v>
      </c>
      <c r="U35" s="5"/>
    </row>
    <row r="36" spans="1:21" ht="31.5" customHeight="1" x14ac:dyDescent="0.25">
      <c r="E36" s="643"/>
      <c r="F36" s="3"/>
      <c r="G36" s="166" t="s">
        <v>53</v>
      </c>
      <c r="H36" s="176">
        <f t="shared" ref="H36:T36" si="24">+H14+H16+H18+H20+H22+H24+H26+H28+H30+H32+H34</f>
        <v>0</v>
      </c>
      <c r="I36" s="176">
        <f t="shared" si="24"/>
        <v>176718.05000000002</v>
      </c>
      <c r="J36" s="176">
        <f t="shared" si="24"/>
        <v>956511.74</v>
      </c>
      <c r="K36" s="176">
        <f t="shared" si="24"/>
        <v>1415395.0499999998</v>
      </c>
      <c r="L36" s="176">
        <f t="shared" si="24"/>
        <v>637775.11</v>
      </c>
      <c r="M36" s="176">
        <f t="shared" si="24"/>
        <v>1010677.4600000001</v>
      </c>
      <c r="N36" s="176">
        <f t="shared" si="24"/>
        <v>1502663.64</v>
      </c>
      <c r="O36" s="176">
        <f t="shared" si="24"/>
        <v>579051.9</v>
      </c>
      <c r="P36" s="176">
        <f t="shared" si="24"/>
        <v>1945961.44</v>
      </c>
      <c r="Q36" s="176">
        <f t="shared" si="24"/>
        <v>1042469.91</v>
      </c>
      <c r="R36" s="176">
        <f t="shared" si="24"/>
        <v>0</v>
      </c>
      <c r="S36" s="176">
        <f t="shared" si="24"/>
        <v>0</v>
      </c>
      <c r="T36" s="176">
        <f t="shared" si="24"/>
        <v>9267224.2999999989</v>
      </c>
      <c r="U36" s="857"/>
    </row>
    <row r="37" spans="1:21" ht="31.5" customHeight="1" x14ac:dyDescent="0.25"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857"/>
    </row>
    <row r="38" spans="1:21" ht="31.5" customHeight="1" x14ac:dyDescent="0.25">
      <c r="S38" s="9"/>
      <c r="T38" s="9"/>
    </row>
    <row r="39" spans="1:21" x14ac:dyDescent="0.25">
      <c r="N39" s="9"/>
      <c r="O39" s="9"/>
    </row>
  </sheetData>
  <autoFilter ref="B12:B37"/>
  <mergeCells count="63"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  <mergeCell ref="D13:D14"/>
    <mergeCell ref="E13:E14"/>
    <mergeCell ref="F13:F14"/>
    <mergeCell ref="U13:U14"/>
    <mergeCell ref="Q11:Q12"/>
    <mergeCell ref="R11:R12"/>
    <mergeCell ref="S11:S12"/>
    <mergeCell ref="T11:T12"/>
    <mergeCell ref="K11:K12"/>
    <mergeCell ref="L11:L12"/>
    <mergeCell ref="M11:M12"/>
    <mergeCell ref="N11:N12"/>
    <mergeCell ref="O11:O12"/>
    <mergeCell ref="P11:P12"/>
    <mergeCell ref="U15:U16"/>
    <mergeCell ref="D17:D18"/>
    <mergeCell ref="E17:E18"/>
    <mergeCell ref="F17:F18"/>
    <mergeCell ref="U17:U18"/>
    <mergeCell ref="D15:D16"/>
    <mergeCell ref="E15:E16"/>
    <mergeCell ref="F15:F16"/>
    <mergeCell ref="U19:U20"/>
    <mergeCell ref="D21:D22"/>
    <mergeCell ref="E21:E22"/>
    <mergeCell ref="F21:F22"/>
    <mergeCell ref="U21:U22"/>
    <mergeCell ref="D19:D20"/>
    <mergeCell ref="E19:E20"/>
    <mergeCell ref="F19:F20"/>
    <mergeCell ref="U23:U24"/>
    <mergeCell ref="D25:D26"/>
    <mergeCell ref="E25:E26"/>
    <mergeCell ref="F25:F26"/>
    <mergeCell ref="U25:U26"/>
    <mergeCell ref="D23:D24"/>
    <mergeCell ref="E23:E24"/>
    <mergeCell ref="F23:F24"/>
    <mergeCell ref="D31:D32"/>
    <mergeCell ref="E31:E32"/>
    <mergeCell ref="F31:F32"/>
    <mergeCell ref="U27:U28"/>
    <mergeCell ref="D29:D30"/>
    <mergeCell ref="E29:E30"/>
    <mergeCell ref="F29:F30"/>
    <mergeCell ref="D27:D28"/>
    <mergeCell ref="E27:E28"/>
    <mergeCell ref="F27:F28"/>
    <mergeCell ref="U33:U34"/>
    <mergeCell ref="U36:U37"/>
    <mergeCell ref="D33:D34"/>
    <mergeCell ref="E33:E34"/>
    <mergeCell ref="F33:F34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49" fitToHeight="21" orientation="landscape" r:id="rId1"/>
  <ignoredErrors>
    <ignoredError sqref="T14 T15:T34" formula="1"/>
  </ignoredError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zoomScale="80" zoomScaleNormal="80" zoomScaleSheetLayoutView="90" zoomScalePageLayoutView="80" workbookViewId="0">
      <pane xSplit="3" ySplit="11" topLeftCell="D19" activePane="bottomRight" state="frozen"/>
      <selection pane="topRight" activeCell="D1" sqref="D1"/>
      <selection pane="bottomLeft" activeCell="A12" sqref="A12"/>
      <selection pane="bottomRight" activeCell="D20" sqref="D20:M23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6.7109375" customWidth="1"/>
    <col min="5" max="5" width="27.28515625" style="1" customWidth="1"/>
    <col min="6" max="6" width="16.85546875" customWidth="1"/>
    <col min="7" max="7" width="15" customWidth="1"/>
    <col min="8" max="8" width="19.140625" customWidth="1"/>
    <col min="9" max="9" width="16.7109375" customWidth="1"/>
    <col min="10" max="10" width="16.5703125" customWidth="1"/>
    <col min="11" max="11" width="11.7109375" hidden="1" customWidth="1"/>
    <col min="12" max="12" width="10.28515625" hidden="1" customWidth="1"/>
    <col min="13" max="13" width="47.140625" customWidth="1"/>
    <col min="14" max="14" width="0.7109375" customWidth="1"/>
    <col min="15" max="16364" width="11.42578125" customWidth="1"/>
  </cols>
  <sheetData>
    <row r="1" spans="1:14" ht="18" x14ac:dyDescent="0.25">
      <c r="D1" s="10" t="s">
        <v>25</v>
      </c>
      <c r="M1" s="11"/>
    </row>
    <row r="2" spans="1:14" ht="18" x14ac:dyDescent="0.25">
      <c r="D2" s="10" t="s">
        <v>24</v>
      </c>
    </row>
    <row r="3" spans="1:14" ht="18" x14ac:dyDescent="0.25">
      <c r="D3" s="10" t="s">
        <v>23</v>
      </c>
    </row>
    <row r="4" spans="1:14" ht="18" x14ac:dyDescent="0.25">
      <c r="D4" s="10" t="s">
        <v>22</v>
      </c>
      <c r="K4" s="9"/>
      <c r="L4" s="9"/>
    </row>
    <row r="5" spans="1:14" ht="18" x14ac:dyDescent="0.25">
      <c r="D5" s="10" t="s">
        <v>21</v>
      </c>
      <c r="M5" s="9"/>
    </row>
    <row r="6" spans="1:14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4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4" ht="18" x14ac:dyDescent="0.25">
      <c r="D8" s="39" t="s">
        <v>31</v>
      </c>
      <c r="E8" s="10" t="s">
        <v>151</v>
      </c>
      <c r="H8" s="9"/>
      <c r="I8" s="9"/>
    </row>
    <row r="9" spans="1:14" ht="3.75" customHeight="1" thickBot="1" x14ac:dyDescent="0.3">
      <c r="C9" s="669"/>
      <c r="D9" s="670"/>
      <c r="E9" s="671"/>
      <c r="F9" s="670"/>
      <c r="G9" s="670"/>
      <c r="H9" s="672"/>
      <c r="I9" s="672"/>
      <c r="J9" s="672"/>
      <c r="K9" s="670"/>
      <c r="L9" s="670"/>
      <c r="M9" s="670"/>
      <c r="N9" s="673"/>
    </row>
    <row r="10" spans="1:14" ht="18" customHeight="1" x14ac:dyDescent="0.25">
      <c r="A10" s="842" t="s">
        <v>18</v>
      </c>
      <c r="B10" s="870"/>
      <c r="C10" s="901" t="s">
        <v>17</v>
      </c>
      <c r="D10" s="846" t="s">
        <v>16</v>
      </c>
      <c r="E10" s="847" t="s">
        <v>15</v>
      </c>
      <c r="F10" s="836" t="s">
        <v>26</v>
      </c>
      <c r="G10" s="837" t="s">
        <v>215</v>
      </c>
      <c r="H10" s="835" t="s">
        <v>90</v>
      </c>
      <c r="I10" s="850"/>
      <c r="J10" s="835" t="s">
        <v>27</v>
      </c>
      <c r="K10" s="836"/>
      <c r="L10" s="837" t="s">
        <v>28</v>
      </c>
      <c r="M10" s="834" t="s">
        <v>14</v>
      </c>
      <c r="N10" s="674"/>
    </row>
    <row r="11" spans="1:14" ht="30" customHeight="1" x14ac:dyDescent="0.25">
      <c r="A11" s="365" t="s">
        <v>13</v>
      </c>
      <c r="B11" s="510" t="s">
        <v>12</v>
      </c>
      <c r="C11" s="1027"/>
      <c r="D11" s="891"/>
      <c r="E11" s="892"/>
      <c r="F11" s="893"/>
      <c r="G11" s="838"/>
      <c r="H11" s="72" t="s">
        <v>91</v>
      </c>
      <c r="I11" s="71" t="s">
        <v>92</v>
      </c>
      <c r="J11" s="72" t="s">
        <v>962</v>
      </c>
      <c r="K11" s="26" t="s">
        <v>29</v>
      </c>
      <c r="L11" s="838"/>
      <c r="M11" s="867"/>
      <c r="N11" s="674"/>
    </row>
    <row r="12" spans="1:14" ht="55.5" customHeight="1" x14ac:dyDescent="0.25">
      <c r="A12" s="639">
        <v>322447</v>
      </c>
      <c r="B12" s="675">
        <v>200200</v>
      </c>
      <c r="C12" s="344" t="s">
        <v>873</v>
      </c>
      <c r="D12" s="240" t="s">
        <v>874</v>
      </c>
      <c r="E12" s="349" t="s">
        <v>875</v>
      </c>
      <c r="F12" s="350">
        <f>'VER SUR_Calendario'!F13</f>
        <v>194880</v>
      </c>
      <c r="G12" s="351">
        <f t="shared" ref="G12:G18" si="0">+F12/12</f>
        <v>16240</v>
      </c>
      <c r="H12" s="73">
        <f ca="1">'VER SUR_Calendario'!T13</f>
        <v>146160</v>
      </c>
      <c r="I12" s="129">
        <f>'VER SUR_Calendario'!T14</f>
        <v>129919.92000000001</v>
      </c>
      <c r="J12" s="73">
        <f ca="1">+I12-H12</f>
        <v>-16240.079999999987</v>
      </c>
      <c r="K12" s="74">
        <f ca="1">+J12/H12*100</f>
        <v>-11.111165845648594</v>
      </c>
      <c r="L12" s="75">
        <f ca="1">+I12/H12*100</f>
        <v>88.8888341543514</v>
      </c>
      <c r="M12" s="574" t="s">
        <v>973</v>
      </c>
      <c r="N12" s="676"/>
    </row>
    <row r="13" spans="1:14" ht="45" customHeight="1" x14ac:dyDescent="0.25">
      <c r="A13" s="639">
        <v>322443</v>
      </c>
      <c r="B13" s="675">
        <v>200200</v>
      </c>
      <c r="C13" s="344" t="s">
        <v>876</v>
      </c>
      <c r="D13" s="240" t="s">
        <v>898</v>
      </c>
      <c r="E13" s="349" t="s">
        <v>878</v>
      </c>
      <c r="F13" s="350">
        <f>'VER SUR_Calendario'!F15:F15</f>
        <v>286738</v>
      </c>
      <c r="G13" s="351">
        <f t="shared" si="0"/>
        <v>23894.833333333332</v>
      </c>
      <c r="H13" s="73">
        <f ca="1">'VER SUR_Calendario'!T15</f>
        <v>215054.99999999997</v>
      </c>
      <c r="I13" s="129">
        <f>'VER SUR_Calendario'!T16</f>
        <v>215045.36999999997</v>
      </c>
      <c r="J13" s="73">
        <f ca="1">+I13-H13</f>
        <v>-9.6300000000046566</v>
      </c>
      <c r="K13" s="74">
        <f ca="1">+J13/H13*100</f>
        <v>-4.4779242519377175E-3</v>
      </c>
      <c r="L13" s="75">
        <f ca="1">+I13/H13*100</f>
        <v>99.99552207574807</v>
      </c>
      <c r="M13" s="574" t="s">
        <v>993</v>
      </c>
      <c r="N13" s="676"/>
    </row>
    <row r="14" spans="1:14" ht="64.5" customHeight="1" x14ac:dyDescent="0.25">
      <c r="A14" s="639">
        <v>322429</v>
      </c>
      <c r="B14" s="675">
        <v>200200</v>
      </c>
      <c r="C14" s="268" t="s">
        <v>879</v>
      </c>
      <c r="D14" s="240" t="s">
        <v>880</v>
      </c>
      <c r="E14" s="349" t="s">
        <v>881</v>
      </c>
      <c r="F14" s="350">
        <f>'VER SUR_Calendario'!F17:F17</f>
        <v>278400</v>
      </c>
      <c r="G14" s="351">
        <f>20000*1.16</f>
        <v>23200</v>
      </c>
      <c r="H14" s="73">
        <f ca="1">'VER SUR_Calendario'!T17</f>
        <v>208800</v>
      </c>
      <c r="I14" s="129">
        <f>'VER SUR_Calendario'!T18</f>
        <v>185600</v>
      </c>
      <c r="J14" s="73">
        <f t="shared" ref="J14:J19" ca="1" si="1">+I14-H14</f>
        <v>-23200</v>
      </c>
      <c r="K14" s="74">
        <f t="shared" ref="K14:K20" ca="1" si="2">+J14/H14*100</f>
        <v>-11.111111111111111</v>
      </c>
      <c r="L14" s="75">
        <f t="shared" ref="L14:L20" ca="1" si="3">+I14/H14*100</f>
        <v>88.888888888888886</v>
      </c>
      <c r="M14" s="574" t="s">
        <v>993</v>
      </c>
      <c r="N14" s="676"/>
    </row>
    <row r="15" spans="1:14" ht="51.75" customHeight="1" x14ac:dyDescent="0.25">
      <c r="A15" s="639">
        <v>329102</v>
      </c>
      <c r="B15" s="675">
        <v>900110</v>
      </c>
      <c r="C15" s="347" t="s">
        <v>884</v>
      </c>
      <c r="D15" s="240" t="s">
        <v>883</v>
      </c>
      <c r="E15" s="349" t="s">
        <v>190</v>
      </c>
      <c r="F15" s="350">
        <f>'VER SUR_Calendario'!F19:F19</f>
        <v>3249903.5</v>
      </c>
      <c r="G15" s="351">
        <f>+F15/12</f>
        <v>270825.29166666669</v>
      </c>
      <c r="H15" s="73">
        <f ca="1">'VER SUR_Calendario'!T19</f>
        <v>2397770.7999999998</v>
      </c>
      <c r="I15" s="129">
        <f>'VER SUR_Calendario'!T20</f>
        <v>1577309.3699999999</v>
      </c>
      <c r="J15" s="73">
        <f t="shared" ca="1" si="1"/>
        <v>-820461.42999999993</v>
      </c>
      <c r="K15" s="74">
        <f t="shared" ca="1" si="2"/>
        <v>-34.21767543419913</v>
      </c>
      <c r="L15" s="75">
        <f t="shared" ca="1" si="3"/>
        <v>65.782324565800863</v>
      </c>
      <c r="M15" s="574" t="s">
        <v>375</v>
      </c>
      <c r="N15" s="676"/>
    </row>
    <row r="16" spans="1:14" ht="51.75" customHeight="1" x14ac:dyDescent="0.25">
      <c r="A16" s="639">
        <v>329102</v>
      </c>
      <c r="B16" s="675">
        <v>900110</v>
      </c>
      <c r="C16" s="347" t="s">
        <v>884</v>
      </c>
      <c r="D16" s="240" t="s">
        <v>899</v>
      </c>
      <c r="E16" s="349" t="s">
        <v>190</v>
      </c>
      <c r="F16" s="350">
        <f>'VER SUR_Calendario'!F21:F21</f>
        <v>2938077.5</v>
      </c>
      <c r="G16" s="351">
        <f>199857.1*1.16</f>
        <v>231834.236</v>
      </c>
      <c r="H16" s="73">
        <f ca="1">'VER SUR_Calendario'!T21</f>
        <v>2148941.6</v>
      </c>
      <c r="I16" s="129">
        <f>'VER SUR_Calendario'!T22</f>
        <v>1885887.08</v>
      </c>
      <c r="J16" s="73">
        <f t="shared" ca="1" si="1"/>
        <v>-263054.52</v>
      </c>
      <c r="K16" s="74">
        <f t="shared" ca="1" si="2"/>
        <v>-12.241120000655206</v>
      </c>
      <c r="L16" s="75">
        <f t="shared" ca="1" si="3"/>
        <v>87.758879999344799</v>
      </c>
      <c r="M16" s="574" t="s">
        <v>993</v>
      </c>
      <c r="N16" s="676"/>
    </row>
    <row r="17" spans="1:15" ht="51.75" customHeight="1" x14ac:dyDescent="0.25">
      <c r="A17" s="639">
        <v>325903</v>
      </c>
      <c r="B17" s="675">
        <v>380200</v>
      </c>
      <c r="C17" s="437" t="s">
        <v>886</v>
      </c>
      <c r="D17" s="240" t="s">
        <v>887</v>
      </c>
      <c r="E17" s="349" t="s">
        <v>196</v>
      </c>
      <c r="F17" s="350">
        <f>'VER SUR_Calendario'!F23:F23</f>
        <v>357810.99999999994</v>
      </c>
      <c r="G17" s="351">
        <f t="shared" si="0"/>
        <v>29817.583333333328</v>
      </c>
      <c r="H17" s="73">
        <f ca="1">'VER SUR_Calendario'!T23</f>
        <v>268361.99999999994</v>
      </c>
      <c r="I17" s="129">
        <f>'VER SUR_Calendario'!T24</f>
        <v>205638.39999999997</v>
      </c>
      <c r="J17" s="73">
        <f t="shared" ca="1" si="1"/>
        <v>-62723.599999999977</v>
      </c>
      <c r="K17" s="74">
        <f t="shared" ca="1" si="2"/>
        <v>-23.372757692966957</v>
      </c>
      <c r="L17" s="75">
        <f t="shared" ca="1" si="3"/>
        <v>76.627242307033043</v>
      </c>
      <c r="M17" s="574" t="s">
        <v>983</v>
      </c>
      <c r="N17" s="676"/>
    </row>
    <row r="18" spans="1:15" ht="70.5" customHeight="1" x14ac:dyDescent="0.25">
      <c r="A18" s="639">
        <v>325904</v>
      </c>
      <c r="B18" s="675">
        <v>380200</v>
      </c>
      <c r="C18" s="268" t="s">
        <v>888</v>
      </c>
      <c r="D18" s="240" t="s">
        <v>900</v>
      </c>
      <c r="E18" s="677" t="s">
        <v>196</v>
      </c>
      <c r="F18" s="350">
        <f>'VER SUR_Calendario'!F25:F25</f>
        <v>96048</v>
      </c>
      <c r="G18" s="351">
        <f t="shared" si="0"/>
        <v>8004</v>
      </c>
      <c r="H18" s="73">
        <f ca="1">'VER SUR_Calendario'!T25</f>
        <v>72036</v>
      </c>
      <c r="I18" s="129">
        <f>'VER SUR_Calendario'!T26</f>
        <v>62100</v>
      </c>
      <c r="J18" s="73">
        <f t="shared" ca="1" si="1"/>
        <v>-9936</v>
      </c>
      <c r="K18" s="74">
        <f t="shared" ca="1" si="2"/>
        <v>-13.793103448275861</v>
      </c>
      <c r="L18" s="75">
        <f t="shared" ca="1" si="3"/>
        <v>86.206896551724128</v>
      </c>
      <c r="M18" s="574" t="s">
        <v>998</v>
      </c>
      <c r="N18" s="676"/>
    </row>
    <row r="19" spans="1:15" ht="70.5" customHeight="1" x14ac:dyDescent="0.25">
      <c r="A19" s="639">
        <v>325902</v>
      </c>
      <c r="B19" s="675">
        <v>380200</v>
      </c>
      <c r="C19" s="268"/>
      <c r="D19" s="240" t="s">
        <v>901</v>
      </c>
      <c r="E19" s="677" t="s">
        <v>196</v>
      </c>
      <c r="F19" s="350">
        <f>'VER SUR_Calendario'!F27:F27</f>
        <v>1531200</v>
      </c>
      <c r="G19" s="351">
        <v>191400</v>
      </c>
      <c r="H19" s="73">
        <f ca="1">'VER SUR_Calendario'!T27</f>
        <v>1148400</v>
      </c>
      <c r="I19" s="129">
        <f>'VER SUR_Calendario'!T28</f>
        <v>879999.67999999993</v>
      </c>
      <c r="J19" s="73">
        <f t="shared" ca="1" si="1"/>
        <v>-268400.32000000007</v>
      </c>
      <c r="K19" s="74">
        <f t="shared" ca="1" si="2"/>
        <v>-23.371675374434002</v>
      </c>
      <c r="L19" s="75">
        <f t="shared" ca="1" si="3"/>
        <v>76.628324625566009</v>
      </c>
      <c r="M19" s="574" t="s">
        <v>902</v>
      </c>
      <c r="N19" s="678"/>
    </row>
    <row r="20" spans="1:15" ht="58.5" customHeight="1" thickBot="1" x14ac:dyDescent="0.3">
      <c r="A20" s="639">
        <v>329001</v>
      </c>
      <c r="B20" s="663">
        <v>140100</v>
      </c>
      <c r="C20" s="679" t="s">
        <v>884</v>
      </c>
      <c r="D20" s="212" t="s">
        <v>892</v>
      </c>
      <c r="E20" s="680" t="s">
        <v>893</v>
      </c>
      <c r="F20" s="350">
        <f>'VER SUR_Calendario'!F29:F29</f>
        <v>392475.00000000006</v>
      </c>
      <c r="G20" s="130">
        <f>+F20/12</f>
        <v>32706.250000000004</v>
      </c>
      <c r="H20" s="218">
        <f ca="1">'VER SUR_Calendario'!T29</f>
        <v>294363.00000000006</v>
      </c>
      <c r="I20" s="286">
        <f>'VER SUR_Calendario'!T30</f>
        <v>261649.60000000003</v>
      </c>
      <c r="J20" s="218">
        <f ca="1">H20-I20</f>
        <v>32713.400000000023</v>
      </c>
      <c r="K20" s="403">
        <f t="shared" ca="1" si="2"/>
        <v>11.113285297404911</v>
      </c>
      <c r="L20" s="404">
        <f t="shared" ca="1" si="3"/>
        <v>88.8867147025951</v>
      </c>
      <c r="M20" s="574" t="s">
        <v>973</v>
      </c>
      <c r="N20" s="9"/>
    </row>
    <row r="21" spans="1:15" ht="58.5" customHeight="1" x14ac:dyDescent="0.25">
      <c r="A21" s="639">
        <v>329001</v>
      </c>
      <c r="B21" s="681" t="s">
        <v>37</v>
      </c>
      <c r="C21" s="268" t="s">
        <v>894</v>
      </c>
      <c r="D21" s="357" t="s">
        <v>895</v>
      </c>
      <c r="E21" s="358" t="s">
        <v>180</v>
      </c>
      <c r="F21" s="350">
        <f>'VER SUR_Calendario'!F31:F31</f>
        <v>204000</v>
      </c>
      <c r="G21" s="360">
        <v>10889</v>
      </c>
      <c r="H21" s="224">
        <f ca="1">'VER SUR_Calendario'!T31</f>
        <v>153000</v>
      </c>
      <c r="I21" s="124">
        <f>'VER SUR_Calendario'!T32</f>
        <v>153000</v>
      </c>
      <c r="J21" s="224">
        <f ca="1">H21-I21</f>
        <v>0</v>
      </c>
      <c r="K21" s="361">
        <f ca="1">+J21/H21*100</f>
        <v>0</v>
      </c>
      <c r="L21" s="239">
        <f ca="1">+I21/H21*100</f>
        <v>100</v>
      </c>
      <c r="M21" s="574" t="s">
        <v>993</v>
      </c>
      <c r="N21" s="9"/>
    </row>
    <row r="22" spans="1:15" s="324" customFormat="1" ht="117" thickBot="1" x14ac:dyDescent="0.3">
      <c r="A22" s="639"/>
      <c r="B22" s="681"/>
      <c r="C22" s="268" t="s">
        <v>894</v>
      </c>
      <c r="D22" s="212" t="s">
        <v>903</v>
      </c>
      <c r="E22" s="584" t="s">
        <v>255</v>
      </c>
      <c r="F22" s="350">
        <f>'VER SUR_Calendario'!F33:F33</f>
        <v>167040</v>
      </c>
      <c r="G22" s="130">
        <f>+F22/6</f>
        <v>27840</v>
      </c>
      <c r="H22" s="218">
        <f ca="1">'VER SUR_Calendario'!T33</f>
        <v>125280</v>
      </c>
      <c r="I22" s="286">
        <f>'VER SUR_Calendario'!T34</f>
        <v>69600</v>
      </c>
      <c r="J22" s="218">
        <f ca="1">H22-I22</f>
        <v>55680</v>
      </c>
      <c r="K22" s="403">
        <f ca="1">+J22/H22*100</f>
        <v>44.444444444444443</v>
      </c>
      <c r="L22" s="404">
        <f ca="1">+I22/H22*100</f>
        <v>55.555555555555557</v>
      </c>
      <c r="M22" s="455" t="s">
        <v>904</v>
      </c>
      <c r="N22" s="682"/>
      <c r="O22"/>
    </row>
    <row r="23" spans="1:15" ht="31.5" customHeight="1" thickBot="1" x14ac:dyDescent="0.3">
      <c r="A23" s="4"/>
      <c r="B23" s="4">
        <v>11</v>
      </c>
      <c r="C23" s="24">
        <f>COUNT(#REF!)</f>
        <v>0</v>
      </c>
      <c r="D23" s="7"/>
      <c r="E23" s="6"/>
      <c r="F23" s="32">
        <f>SUM(F12:F22)</f>
        <v>9696573</v>
      </c>
      <c r="G23" s="32">
        <f>SUM(G12:G22)</f>
        <v>866651.19433333341</v>
      </c>
      <c r="H23" s="32">
        <f ca="1">SUM(H12:H22)</f>
        <v>7178168.4000000004</v>
      </c>
      <c r="I23" s="32">
        <f>SUM(I12:I22)</f>
        <v>5625749.4199999999</v>
      </c>
      <c r="J23" s="32">
        <f ca="1">H23-I23</f>
        <v>1552418.9800000004</v>
      </c>
      <c r="K23" s="150">
        <f ca="1">+J23/H23*100</f>
        <v>21.626951242882523</v>
      </c>
      <c r="L23" s="151">
        <f ca="1">+I23/H23*100</f>
        <v>78.373048757117488</v>
      </c>
      <c r="M23" s="5"/>
    </row>
    <row r="24" spans="1:15" ht="30.75" customHeight="1" x14ac:dyDescent="0.25">
      <c r="F24" s="3"/>
      <c r="G24" s="3"/>
      <c r="H24" s="2"/>
      <c r="I24" s="2"/>
      <c r="J24" s="2"/>
      <c r="K24" s="2"/>
      <c r="L24" s="2"/>
      <c r="M24" s="89"/>
    </row>
    <row r="25" spans="1:15" ht="30.75" customHeight="1" x14ac:dyDescent="0.25">
      <c r="F25" s="667"/>
      <c r="G25" s="667"/>
      <c r="H25" s="667"/>
      <c r="I25" s="667"/>
      <c r="J25" s="667"/>
      <c r="K25" s="667"/>
      <c r="L25" s="667"/>
      <c r="M25" s="89"/>
    </row>
    <row r="26" spans="1:15" ht="31.5" customHeight="1" x14ac:dyDescent="0.25">
      <c r="E26" s="364"/>
      <c r="F26" s="667"/>
      <c r="G26" s="667"/>
      <c r="H26" s="667"/>
      <c r="I26" s="667"/>
      <c r="J26" s="9"/>
      <c r="K26" s="9"/>
      <c r="L26" s="118"/>
      <c r="M26" s="118"/>
    </row>
  </sheetData>
  <mergeCells count="11">
    <mergeCell ref="M10:M11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8" fitToHeight="21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="80" zoomScaleNormal="100" zoomScaleSheetLayoutView="80" zoomScalePageLayoutView="80" workbookViewId="0">
      <pane xSplit="6" ySplit="12" topLeftCell="G26" activePane="bottomRight" state="frozen"/>
      <selection pane="topRight" activeCell="G1" sqref="G1"/>
      <selection pane="bottomLeft" activeCell="A12" sqref="A12"/>
      <selection pane="bottomRight" activeCell="C38" sqref="C38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3" customWidth="1"/>
    <col min="5" max="5" width="27.28515625" style="1" customWidth="1"/>
    <col min="6" max="6" width="19" customWidth="1"/>
    <col min="7" max="7" width="15" customWidth="1"/>
    <col min="8" max="8" width="17.42578125" customWidth="1"/>
    <col min="9" max="9" width="18.7109375" customWidth="1"/>
    <col min="10" max="10" width="17.7109375" customWidth="1"/>
    <col min="11" max="11" width="19.140625" customWidth="1"/>
    <col min="12" max="12" width="17.5703125" customWidth="1"/>
    <col min="13" max="13" width="17.28515625" customWidth="1"/>
    <col min="14" max="14" width="18.7109375" customWidth="1"/>
    <col min="15" max="15" width="17.42578125" customWidth="1"/>
    <col min="16" max="17" width="17" customWidth="1"/>
    <col min="18" max="18" width="17.42578125" customWidth="1"/>
    <col min="19" max="19" width="18.7109375" customWidth="1"/>
    <col min="20" max="20" width="19.7109375" customWidth="1"/>
    <col min="21" max="21" width="47.140625" customWidth="1"/>
    <col min="22" max="22" width="18.5703125" customWidth="1"/>
    <col min="23" max="23" width="28" customWidth="1"/>
    <col min="24" max="16373" width="11.42578125" customWidth="1"/>
  </cols>
  <sheetData>
    <row r="1" spans="1:21" ht="18" x14ac:dyDescent="0.25">
      <c r="A1" t="s">
        <v>872</v>
      </c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151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 t="s">
        <v>215</v>
      </c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x14ac:dyDescent="0.25">
      <c r="A12" s="366" t="s">
        <v>12</v>
      </c>
      <c r="B12" s="365" t="s">
        <v>13</v>
      </c>
      <c r="C12" s="883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3.75" customHeight="1" x14ac:dyDescent="0.25">
      <c r="A13" s="756">
        <v>100902</v>
      </c>
      <c r="B13" s="639">
        <v>322447</v>
      </c>
      <c r="C13" s="344" t="s">
        <v>873</v>
      </c>
      <c r="D13" s="873" t="s">
        <v>874</v>
      </c>
      <c r="E13" s="943" t="s">
        <v>875</v>
      </c>
      <c r="F13" s="918">
        <f>SUM(H13:S13)</f>
        <v>194880</v>
      </c>
      <c r="G13" s="166" t="s">
        <v>52</v>
      </c>
      <c r="H13" s="166"/>
      <c r="I13" s="166">
        <f t="shared" ref="I13:S13" si="0">VLOOKUP($A13&amp;$B13&amp;I$10,Base,8,FALSE)</f>
        <v>0</v>
      </c>
      <c r="J13" s="166">
        <f t="shared" si="0"/>
        <v>32479.98</v>
      </c>
      <c r="K13" s="166">
        <f t="shared" si="0"/>
        <v>16239.99</v>
      </c>
      <c r="L13" s="166">
        <f t="shared" si="0"/>
        <v>16239.99</v>
      </c>
      <c r="M13" s="166">
        <f t="shared" si="0"/>
        <v>16239.99</v>
      </c>
      <c r="N13" s="166">
        <f t="shared" si="0"/>
        <v>16239.99</v>
      </c>
      <c r="O13" s="166">
        <f t="shared" si="0"/>
        <v>16239.99</v>
      </c>
      <c r="P13" s="166">
        <f t="shared" si="0"/>
        <v>16239.99</v>
      </c>
      <c r="Q13" s="166">
        <f t="shared" si="0"/>
        <v>16240.08</v>
      </c>
      <c r="R13" s="166">
        <f t="shared" si="0"/>
        <v>16240</v>
      </c>
      <c r="S13" s="166">
        <f t="shared" si="0"/>
        <v>32480</v>
      </c>
      <c r="T13" s="185">
        <f ca="1">SUM($H13:(OFFSET($H13,0,AVANCE060826!$T$2)))</f>
        <v>146160</v>
      </c>
      <c r="U13" s="876" t="s">
        <v>814</v>
      </c>
    </row>
    <row r="14" spans="1:21" ht="30" customHeight="1" x14ac:dyDescent="0.25">
      <c r="A14" s="756">
        <v>100902</v>
      </c>
      <c r="B14" s="639">
        <v>322447</v>
      </c>
      <c r="C14" s="344"/>
      <c r="D14" s="873"/>
      <c r="E14" s="943"/>
      <c r="F14" s="918"/>
      <c r="G14" s="166" t="s">
        <v>53</v>
      </c>
      <c r="H14" s="166"/>
      <c r="I14" s="166">
        <f t="shared" ref="I14:S14" si="1">VLOOKUP($A14&amp;$B14&amp;I$10,Base,9,FALSE)</f>
        <v>0</v>
      </c>
      <c r="J14" s="166">
        <f t="shared" si="1"/>
        <v>32479.98</v>
      </c>
      <c r="K14" s="166">
        <f t="shared" si="1"/>
        <v>16239.99</v>
      </c>
      <c r="L14" s="166">
        <f t="shared" si="1"/>
        <v>16239.99</v>
      </c>
      <c r="M14" s="166">
        <f t="shared" si="1"/>
        <v>16239.99</v>
      </c>
      <c r="N14" s="166">
        <f t="shared" si="1"/>
        <v>16239.99</v>
      </c>
      <c r="O14" s="166">
        <f t="shared" si="1"/>
        <v>16239.99</v>
      </c>
      <c r="P14" s="166">
        <f t="shared" si="1"/>
        <v>16239.99</v>
      </c>
      <c r="Q14" s="166">
        <f t="shared" si="1"/>
        <v>0</v>
      </c>
      <c r="R14" s="166">
        <f t="shared" si="1"/>
        <v>0</v>
      </c>
      <c r="S14" s="166">
        <f t="shared" si="1"/>
        <v>0</v>
      </c>
      <c r="T14" s="185">
        <f>SUM(H14:S14)</f>
        <v>129919.92000000001</v>
      </c>
      <c r="U14" s="876"/>
    </row>
    <row r="15" spans="1:21" ht="32.25" customHeight="1" x14ac:dyDescent="0.25">
      <c r="A15" s="756">
        <v>100902</v>
      </c>
      <c r="B15" s="639">
        <v>322443</v>
      </c>
      <c r="C15" s="344" t="s">
        <v>876</v>
      </c>
      <c r="D15" s="873" t="s">
        <v>877</v>
      </c>
      <c r="E15" s="943" t="s">
        <v>878</v>
      </c>
      <c r="F15" s="918">
        <f>SUM(H15:S15)</f>
        <v>286738</v>
      </c>
      <c r="G15" s="166" t="s">
        <v>52</v>
      </c>
      <c r="H15" s="166"/>
      <c r="I15" s="166">
        <f t="shared" ref="I15:S15" si="2">VLOOKUP($A15&amp;$B15&amp;I$10,Base,8,FALSE)</f>
        <v>0</v>
      </c>
      <c r="J15" s="166">
        <f t="shared" si="2"/>
        <v>47787.86</v>
      </c>
      <c r="K15" s="166">
        <f t="shared" si="2"/>
        <v>23893.93</v>
      </c>
      <c r="L15" s="166">
        <f t="shared" si="2"/>
        <v>23893.93</v>
      </c>
      <c r="M15" s="166">
        <f t="shared" si="2"/>
        <v>23893.93</v>
      </c>
      <c r="N15" s="166">
        <f t="shared" si="2"/>
        <v>23893.93</v>
      </c>
      <c r="O15" s="166">
        <f t="shared" si="2"/>
        <v>23893.93</v>
      </c>
      <c r="P15" s="166">
        <f t="shared" si="2"/>
        <v>23893.93</v>
      </c>
      <c r="Q15" s="166">
        <f t="shared" si="2"/>
        <v>23903.56</v>
      </c>
      <c r="R15" s="166">
        <f t="shared" si="2"/>
        <v>23895</v>
      </c>
      <c r="S15" s="166">
        <f t="shared" si="2"/>
        <v>47788</v>
      </c>
      <c r="T15" s="185">
        <f ca="1">SUM($H15:(OFFSET($H15,0,AVANCE060826!$T$2)))</f>
        <v>215054.99999999997</v>
      </c>
      <c r="U15" s="876" t="s">
        <v>814</v>
      </c>
    </row>
    <row r="16" spans="1:21" ht="35.25" customHeight="1" x14ac:dyDescent="0.25">
      <c r="A16" s="756">
        <v>100902</v>
      </c>
      <c r="B16" s="639">
        <v>322443</v>
      </c>
      <c r="C16" s="344"/>
      <c r="D16" s="873"/>
      <c r="E16" s="943"/>
      <c r="F16" s="918"/>
      <c r="G16" s="166" t="s">
        <v>53</v>
      </c>
      <c r="H16" s="166"/>
      <c r="I16" s="166">
        <f t="shared" ref="I16:S16" si="3">VLOOKUP($A16&amp;$B16&amp;I$10,Base,9,FALSE)</f>
        <v>0</v>
      </c>
      <c r="J16" s="166">
        <f t="shared" si="3"/>
        <v>47787.86</v>
      </c>
      <c r="K16" s="166">
        <f t="shared" si="3"/>
        <v>23893.93</v>
      </c>
      <c r="L16" s="166">
        <f t="shared" si="3"/>
        <v>23893.93</v>
      </c>
      <c r="M16" s="166">
        <f t="shared" si="3"/>
        <v>23893.93</v>
      </c>
      <c r="N16" s="166">
        <f t="shared" si="3"/>
        <v>23893.93</v>
      </c>
      <c r="O16" s="166">
        <f t="shared" si="3"/>
        <v>23893.93</v>
      </c>
      <c r="P16" s="166">
        <f t="shared" si="3"/>
        <v>23893.93</v>
      </c>
      <c r="Q16" s="166">
        <f t="shared" si="3"/>
        <v>23893.93</v>
      </c>
      <c r="R16" s="166">
        <f t="shared" si="3"/>
        <v>0</v>
      </c>
      <c r="S16" s="166">
        <f t="shared" si="3"/>
        <v>0</v>
      </c>
      <c r="T16" s="185">
        <f>SUM(H16:S16)</f>
        <v>215045.36999999997</v>
      </c>
      <c r="U16" s="876"/>
    </row>
    <row r="17" spans="1:22" ht="37.5" customHeight="1" x14ac:dyDescent="0.25">
      <c r="A17" s="663">
        <v>200200</v>
      </c>
      <c r="B17" s="639">
        <v>322429</v>
      </c>
      <c r="C17" s="268" t="s">
        <v>879</v>
      </c>
      <c r="D17" s="873" t="s">
        <v>880</v>
      </c>
      <c r="E17" s="943" t="s">
        <v>881</v>
      </c>
      <c r="F17" s="918">
        <f>SUM(H17:S17)</f>
        <v>278400</v>
      </c>
      <c r="G17" s="166" t="s">
        <v>52</v>
      </c>
      <c r="H17" s="166"/>
      <c r="I17" s="166">
        <f t="shared" ref="I17:S17" si="4">VLOOKUP($A17&amp;$B17&amp;I$10,Base,8,FALSE)</f>
        <v>0</v>
      </c>
      <c r="J17" s="166">
        <f t="shared" si="4"/>
        <v>46400</v>
      </c>
      <c r="K17" s="166">
        <f t="shared" si="4"/>
        <v>23200</v>
      </c>
      <c r="L17" s="166">
        <f t="shared" si="4"/>
        <v>23200</v>
      </c>
      <c r="M17" s="166">
        <f t="shared" si="4"/>
        <v>23200</v>
      </c>
      <c r="N17" s="166">
        <f t="shared" si="4"/>
        <v>23200</v>
      </c>
      <c r="O17" s="166">
        <f t="shared" si="4"/>
        <v>23200</v>
      </c>
      <c r="P17" s="166">
        <f t="shared" si="4"/>
        <v>23200</v>
      </c>
      <c r="Q17" s="166">
        <f t="shared" si="4"/>
        <v>23200</v>
      </c>
      <c r="R17" s="166">
        <f t="shared" si="4"/>
        <v>23200</v>
      </c>
      <c r="S17" s="166">
        <f t="shared" si="4"/>
        <v>46400</v>
      </c>
      <c r="T17" s="185">
        <f ca="1">SUM($H17:(OFFSET($H17,0,AVANCE060826!$T$2)))</f>
        <v>208800</v>
      </c>
      <c r="U17" s="876" t="s">
        <v>814</v>
      </c>
    </row>
    <row r="18" spans="1:22" ht="54" customHeight="1" x14ac:dyDescent="0.25">
      <c r="A18" s="663">
        <v>200200</v>
      </c>
      <c r="B18" s="639">
        <v>322429</v>
      </c>
      <c r="C18" s="268"/>
      <c r="D18" s="873"/>
      <c r="E18" s="943"/>
      <c r="F18" s="918"/>
      <c r="G18" s="166" t="s">
        <v>53</v>
      </c>
      <c r="H18" s="166"/>
      <c r="I18" s="166">
        <f t="shared" ref="I18:S18" si="5">VLOOKUP($A18&amp;$B18&amp;I$10,Base,9,FALSE)</f>
        <v>0</v>
      </c>
      <c r="J18" s="166">
        <f t="shared" si="5"/>
        <v>46400</v>
      </c>
      <c r="K18" s="166">
        <f t="shared" si="5"/>
        <v>23200</v>
      </c>
      <c r="L18" s="166">
        <f t="shared" si="5"/>
        <v>23200</v>
      </c>
      <c r="M18" s="166">
        <f t="shared" si="5"/>
        <v>23200</v>
      </c>
      <c r="N18" s="166">
        <f t="shared" si="5"/>
        <v>23200</v>
      </c>
      <c r="O18" s="166">
        <f t="shared" si="5"/>
        <v>23200</v>
      </c>
      <c r="P18" s="166">
        <f t="shared" si="5"/>
        <v>23200</v>
      </c>
      <c r="Q18" s="166">
        <f t="shared" si="5"/>
        <v>0</v>
      </c>
      <c r="R18" s="166">
        <f t="shared" si="5"/>
        <v>0</v>
      </c>
      <c r="S18" s="166">
        <f t="shared" si="5"/>
        <v>0</v>
      </c>
      <c r="T18" s="185">
        <f>SUM(H18:S18)</f>
        <v>185600</v>
      </c>
      <c r="U18" s="876"/>
    </row>
    <row r="19" spans="1:22" ht="36.75" customHeight="1" x14ac:dyDescent="0.25">
      <c r="A19" s="663">
        <v>900110</v>
      </c>
      <c r="B19" s="639">
        <v>329101</v>
      </c>
      <c r="C19" s="268" t="s">
        <v>882</v>
      </c>
      <c r="D19" s="873" t="s">
        <v>883</v>
      </c>
      <c r="E19" s="943" t="s">
        <v>190</v>
      </c>
      <c r="F19" s="918">
        <f>SUM(H19:S19)</f>
        <v>3249903.5</v>
      </c>
      <c r="G19" s="166" t="s">
        <v>52</v>
      </c>
      <c r="H19" s="166"/>
      <c r="I19" s="166">
        <f t="shared" ref="I19:S19" si="6">VLOOKUP($A19&amp;$B19&amp;I$10,Base,8,FALSE)</f>
        <v>0</v>
      </c>
      <c r="J19" s="166">
        <f t="shared" si="6"/>
        <v>450659.82</v>
      </c>
      <c r="K19" s="166">
        <f t="shared" si="6"/>
        <v>225329.91</v>
      </c>
      <c r="L19" s="166">
        <f t="shared" si="6"/>
        <v>225329.91</v>
      </c>
      <c r="M19" s="166">
        <f t="shared" si="6"/>
        <v>225329.91</v>
      </c>
      <c r="N19" s="166">
        <f t="shared" si="6"/>
        <v>225329.91</v>
      </c>
      <c r="O19" s="166">
        <f t="shared" si="6"/>
        <v>225329.91</v>
      </c>
      <c r="P19" s="166">
        <f t="shared" si="6"/>
        <v>0</v>
      </c>
      <c r="Q19" s="166">
        <f t="shared" si="6"/>
        <v>820461.43</v>
      </c>
      <c r="R19" s="166">
        <f t="shared" si="6"/>
        <v>284044.90000000002</v>
      </c>
      <c r="S19" s="166">
        <f t="shared" si="6"/>
        <v>568087.80000000005</v>
      </c>
      <c r="T19" s="185">
        <f ca="1">SUM($H19:(OFFSET($H19,0,AVANCE060826!$T$2)))</f>
        <v>2397770.7999999998</v>
      </c>
      <c r="U19" s="876" t="s">
        <v>814</v>
      </c>
      <c r="V19" s="192"/>
    </row>
    <row r="20" spans="1:22" ht="41.25" customHeight="1" x14ac:dyDescent="0.25">
      <c r="A20" s="663">
        <v>900110</v>
      </c>
      <c r="B20" s="639">
        <v>329101</v>
      </c>
      <c r="C20" s="268"/>
      <c r="D20" s="873"/>
      <c r="E20" s="943"/>
      <c r="F20" s="918"/>
      <c r="G20" s="166" t="s">
        <v>53</v>
      </c>
      <c r="H20" s="166"/>
      <c r="I20" s="166">
        <f t="shared" ref="I20:S20" si="7">VLOOKUP($A20&amp;$B20&amp;I$10,Base,9,FALSE)</f>
        <v>0</v>
      </c>
      <c r="J20" s="166">
        <f t="shared" si="7"/>
        <v>450659.82</v>
      </c>
      <c r="K20" s="166">
        <f t="shared" si="7"/>
        <v>225329.91</v>
      </c>
      <c r="L20" s="166">
        <f t="shared" si="7"/>
        <v>225329.91</v>
      </c>
      <c r="M20" s="166">
        <f t="shared" si="7"/>
        <v>225329.91</v>
      </c>
      <c r="N20" s="166">
        <f t="shared" si="7"/>
        <v>225329.91</v>
      </c>
      <c r="O20" s="166">
        <f t="shared" si="7"/>
        <v>225329.91</v>
      </c>
      <c r="P20" s="166">
        <f t="shared" si="7"/>
        <v>0</v>
      </c>
      <c r="Q20" s="166">
        <f t="shared" si="7"/>
        <v>0</v>
      </c>
      <c r="R20" s="166">
        <f t="shared" si="7"/>
        <v>0</v>
      </c>
      <c r="S20" s="166">
        <f t="shared" si="7"/>
        <v>0</v>
      </c>
      <c r="T20" s="185">
        <f>SUM(H20:S20)</f>
        <v>1577309.3699999999</v>
      </c>
      <c r="U20" s="876"/>
      <c r="V20" s="192"/>
    </row>
    <row r="21" spans="1:22" ht="32.25" customHeight="1" x14ac:dyDescent="0.25">
      <c r="A21" s="663">
        <v>900110</v>
      </c>
      <c r="B21" s="639">
        <v>329102</v>
      </c>
      <c r="C21" s="347" t="s">
        <v>884</v>
      </c>
      <c r="D21" s="873" t="s">
        <v>885</v>
      </c>
      <c r="E21" s="943" t="s">
        <v>190</v>
      </c>
      <c r="F21" s="918">
        <f>SUM(H21:S21)</f>
        <v>2938077.5</v>
      </c>
      <c r="G21" s="166" t="s">
        <v>52</v>
      </c>
      <c r="H21" s="166"/>
      <c r="I21" s="166">
        <f t="shared" ref="I21:S21" si="8">VLOOKUP($A21&amp;$B21&amp;I$10,Base,8,FALSE)</f>
        <v>0</v>
      </c>
      <c r="J21" s="166">
        <f t="shared" si="8"/>
        <v>463668.47999999998</v>
      </c>
      <c r="K21" s="166">
        <f t="shared" si="8"/>
        <v>231834.23999999999</v>
      </c>
      <c r="L21" s="166">
        <f t="shared" si="8"/>
        <v>231834.23999999999</v>
      </c>
      <c r="M21" s="166">
        <f t="shared" si="8"/>
        <v>231834.23999999999</v>
      </c>
      <c r="N21" s="166">
        <f t="shared" si="8"/>
        <v>231834.23999999999</v>
      </c>
      <c r="O21" s="166">
        <f t="shared" si="8"/>
        <v>231834.23999999999</v>
      </c>
      <c r="P21" s="166">
        <f t="shared" si="8"/>
        <v>263047.40000000002</v>
      </c>
      <c r="Q21" s="166">
        <f t="shared" si="8"/>
        <v>263054.52</v>
      </c>
      <c r="R21" s="166">
        <f t="shared" si="8"/>
        <v>263048.3</v>
      </c>
      <c r="S21" s="166">
        <f t="shared" si="8"/>
        <v>526087.6</v>
      </c>
      <c r="T21" s="185">
        <f ca="1">SUM($H21:(OFFSET($H21,0,AVANCE060826!$T$2)))</f>
        <v>2148941.6</v>
      </c>
      <c r="U21" s="170"/>
      <c r="V21" s="192"/>
    </row>
    <row r="22" spans="1:22" ht="32.25" customHeight="1" x14ac:dyDescent="0.25">
      <c r="A22" s="663">
        <v>900110</v>
      </c>
      <c r="B22" s="639">
        <v>329102</v>
      </c>
      <c r="C22" s="347"/>
      <c r="D22" s="873"/>
      <c r="E22" s="943"/>
      <c r="F22" s="918"/>
      <c r="G22" s="166" t="s">
        <v>53</v>
      </c>
      <c r="H22" s="166"/>
      <c r="I22" s="166">
        <f t="shared" ref="I22:S22" si="9">VLOOKUP($A22&amp;$B22&amp;I$10,Base,9,FALSE)</f>
        <v>0</v>
      </c>
      <c r="J22" s="166">
        <f t="shared" si="9"/>
        <v>463668.47999999998</v>
      </c>
      <c r="K22" s="166">
        <f t="shared" si="9"/>
        <v>231834.23999999999</v>
      </c>
      <c r="L22" s="166">
        <f t="shared" si="9"/>
        <v>231834.23999999999</v>
      </c>
      <c r="M22" s="166">
        <f t="shared" si="9"/>
        <v>231834.23999999999</v>
      </c>
      <c r="N22" s="166">
        <f t="shared" si="9"/>
        <v>231834.23999999999</v>
      </c>
      <c r="O22" s="166">
        <f t="shared" si="9"/>
        <v>231834.23999999999</v>
      </c>
      <c r="P22" s="166">
        <f t="shared" si="9"/>
        <v>263047.40000000002</v>
      </c>
      <c r="Q22" s="166">
        <f t="shared" si="9"/>
        <v>0</v>
      </c>
      <c r="R22" s="166">
        <f t="shared" si="9"/>
        <v>0</v>
      </c>
      <c r="S22" s="166">
        <f t="shared" si="9"/>
        <v>0</v>
      </c>
      <c r="T22" s="185">
        <f>SUM(H22:S22)</f>
        <v>1885887.08</v>
      </c>
      <c r="U22" s="170"/>
      <c r="V22" s="192"/>
    </row>
    <row r="23" spans="1:22" ht="21" customHeight="1" x14ac:dyDescent="0.25">
      <c r="A23" s="663">
        <v>380200</v>
      </c>
      <c r="B23" s="639">
        <v>325903</v>
      </c>
      <c r="C23" s="437" t="s">
        <v>886</v>
      </c>
      <c r="D23" s="889" t="s">
        <v>887</v>
      </c>
      <c r="E23" s="1028" t="s">
        <v>196</v>
      </c>
      <c r="F23" s="918">
        <f>SUM(H23:S23)</f>
        <v>357810.99999999994</v>
      </c>
      <c r="G23" s="166" t="s">
        <v>52</v>
      </c>
      <c r="H23" s="166"/>
      <c r="I23" s="166">
        <f t="shared" ref="I23:S23" si="10">VLOOKUP($A23&amp;$B23&amp;I$10,Base,8,FALSE)</f>
        <v>0</v>
      </c>
      <c r="J23" s="166">
        <f t="shared" si="10"/>
        <v>51409.599999999999</v>
      </c>
      <c r="K23" s="166">
        <f t="shared" si="10"/>
        <v>25704.799999999999</v>
      </c>
      <c r="L23" s="166">
        <f t="shared" si="10"/>
        <v>25704.799999999999</v>
      </c>
      <c r="M23" s="166">
        <f t="shared" si="10"/>
        <v>25704.799999999999</v>
      </c>
      <c r="N23" s="166">
        <f t="shared" si="10"/>
        <v>25704.799999999999</v>
      </c>
      <c r="O23" s="166">
        <f t="shared" si="10"/>
        <v>25704.799999999999</v>
      </c>
      <c r="P23" s="166">
        <f t="shared" si="10"/>
        <v>25704.799999999999</v>
      </c>
      <c r="Q23" s="166">
        <f t="shared" si="10"/>
        <v>62723.6</v>
      </c>
      <c r="R23" s="166">
        <f t="shared" si="10"/>
        <v>29818</v>
      </c>
      <c r="S23" s="166">
        <f t="shared" si="10"/>
        <v>59631</v>
      </c>
      <c r="T23" s="185">
        <f ca="1">SUM($H23:(OFFSET($H23,0,AVANCE060826!$T$2)))</f>
        <v>268361.99999999994</v>
      </c>
      <c r="U23" s="876"/>
      <c r="V23" s="664"/>
    </row>
    <row r="24" spans="1:22" ht="33.75" customHeight="1" x14ac:dyDescent="0.25">
      <c r="A24" s="663">
        <v>380200</v>
      </c>
      <c r="B24" s="639">
        <v>325903</v>
      </c>
      <c r="C24" s="437"/>
      <c r="D24" s="889"/>
      <c r="E24" s="1028"/>
      <c r="F24" s="918"/>
      <c r="G24" s="166" t="s">
        <v>53</v>
      </c>
      <c r="H24" s="166"/>
      <c r="I24" s="166">
        <f t="shared" ref="I24:S24" si="11">VLOOKUP($A24&amp;$B24&amp;I$10,Base,9,FALSE)</f>
        <v>0</v>
      </c>
      <c r="J24" s="166">
        <f t="shared" si="11"/>
        <v>51409.599999999999</v>
      </c>
      <c r="K24" s="166">
        <f t="shared" si="11"/>
        <v>25704.799999999999</v>
      </c>
      <c r="L24" s="166">
        <f t="shared" si="11"/>
        <v>25704.799999999999</v>
      </c>
      <c r="M24" s="166">
        <f t="shared" si="11"/>
        <v>25704.799999999999</v>
      </c>
      <c r="N24" s="166">
        <f t="shared" si="11"/>
        <v>25704.799999999999</v>
      </c>
      <c r="O24" s="166">
        <f t="shared" si="11"/>
        <v>25704.799999999999</v>
      </c>
      <c r="P24" s="166">
        <f t="shared" si="11"/>
        <v>25704.799999999999</v>
      </c>
      <c r="Q24" s="166">
        <f t="shared" si="11"/>
        <v>0</v>
      </c>
      <c r="R24" s="166">
        <f t="shared" si="11"/>
        <v>0</v>
      </c>
      <c r="S24" s="166">
        <f t="shared" si="11"/>
        <v>0</v>
      </c>
      <c r="T24" s="185">
        <f>SUM(H24:S24)</f>
        <v>205638.39999999997</v>
      </c>
      <c r="U24" s="876"/>
      <c r="V24" s="664"/>
    </row>
    <row r="25" spans="1:22" ht="40.5" customHeight="1" x14ac:dyDescent="0.25">
      <c r="A25" s="663">
        <v>380200</v>
      </c>
      <c r="B25" s="639">
        <v>325904</v>
      </c>
      <c r="C25" s="268" t="s">
        <v>888</v>
      </c>
      <c r="D25" s="889" t="s">
        <v>889</v>
      </c>
      <c r="E25" s="1029" t="s">
        <v>196</v>
      </c>
      <c r="F25" s="918">
        <f>SUM(H25:S25)</f>
        <v>96048</v>
      </c>
      <c r="G25" s="166" t="s">
        <v>52</v>
      </c>
      <c r="H25" s="166"/>
      <c r="I25" s="166">
        <f t="shared" ref="I25:S25" si="12">VLOOKUP($A25&amp;$B25&amp;I$10,Base,8,FALSE)</f>
        <v>0</v>
      </c>
      <c r="J25" s="166">
        <f t="shared" si="12"/>
        <v>13800</v>
      </c>
      <c r="K25" s="166">
        <f t="shared" si="12"/>
        <v>6900</v>
      </c>
      <c r="L25" s="166">
        <f t="shared" si="12"/>
        <v>6900</v>
      </c>
      <c r="M25" s="166">
        <f t="shared" si="12"/>
        <v>6900</v>
      </c>
      <c r="N25" s="166">
        <f t="shared" si="12"/>
        <v>6900</v>
      </c>
      <c r="O25" s="166">
        <f t="shared" si="12"/>
        <v>6900</v>
      </c>
      <c r="P25" s="166">
        <f t="shared" si="12"/>
        <v>6900</v>
      </c>
      <c r="Q25" s="166">
        <f t="shared" si="12"/>
        <v>16836</v>
      </c>
      <c r="R25" s="166">
        <f t="shared" si="12"/>
        <v>8004</v>
      </c>
      <c r="S25" s="166">
        <f t="shared" si="12"/>
        <v>16008</v>
      </c>
      <c r="T25" s="185">
        <f ca="1">SUM($H25:(OFFSET($H25,0,AVANCE060826!$T$2)))</f>
        <v>72036</v>
      </c>
      <c r="U25" s="876" t="s">
        <v>890</v>
      </c>
      <c r="V25" s="664"/>
    </row>
    <row r="26" spans="1:22" ht="49.5" customHeight="1" x14ac:dyDescent="0.25">
      <c r="A26" s="663">
        <v>380200</v>
      </c>
      <c r="B26" s="639">
        <v>325904</v>
      </c>
      <c r="C26" s="268"/>
      <c r="D26" s="889"/>
      <c r="E26" s="1029"/>
      <c r="F26" s="918"/>
      <c r="G26" s="166" t="s">
        <v>53</v>
      </c>
      <c r="H26" s="166"/>
      <c r="I26" s="166">
        <f t="shared" ref="I26:S26" si="13">VLOOKUP($A26&amp;$B26&amp;I$10,Base,9,FALSE)</f>
        <v>0</v>
      </c>
      <c r="J26" s="166">
        <f t="shared" si="13"/>
        <v>13800</v>
      </c>
      <c r="K26" s="166">
        <f t="shared" si="13"/>
        <v>6900</v>
      </c>
      <c r="L26" s="166">
        <f t="shared" si="13"/>
        <v>6900</v>
      </c>
      <c r="M26" s="166">
        <f t="shared" si="13"/>
        <v>6900</v>
      </c>
      <c r="N26" s="166">
        <f t="shared" si="13"/>
        <v>6900</v>
      </c>
      <c r="O26" s="166">
        <f t="shared" si="13"/>
        <v>6900</v>
      </c>
      <c r="P26" s="166">
        <f t="shared" si="13"/>
        <v>6900</v>
      </c>
      <c r="Q26" s="166">
        <f t="shared" si="13"/>
        <v>6900</v>
      </c>
      <c r="R26" s="166">
        <f t="shared" si="13"/>
        <v>0</v>
      </c>
      <c r="S26" s="166">
        <f t="shared" si="13"/>
        <v>0</v>
      </c>
      <c r="T26" s="185">
        <f>SUM(H26:S26)</f>
        <v>62100</v>
      </c>
      <c r="U26" s="876"/>
      <c r="V26" s="664"/>
    </row>
    <row r="27" spans="1:22" ht="49.5" customHeight="1" x14ac:dyDescent="0.25">
      <c r="A27" s="663">
        <v>380200</v>
      </c>
      <c r="B27" s="639">
        <v>325902</v>
      </c>
      <c r="C27" s="268" t="s">
        <v>888</v>
      </c>
      <c r="D27" s="889" t="s">
        <v>891</v>
      </c>
      <c r="E27" s="1029" t="s">
        <v>196</v>
      </c>
      <c r="F27" s="918">
        <f>SUM(H27:S27)</f>
        <v>1531200</v>
      </c>
      <c r="G27" s="166" t="s">
        <v>52</v>
      </c>
      <c r="H27" s="166"/>
      <c r="I27" s="166">
        <f t="shared" ref="I27:S27" si="14">VLOOKUP($A27&amp;$B27&amp;I$10,Base,8,FALSE)</f>
        <v>0</v>
      </c>
      <c r="J27" s="166">
        <f t="shared" si="14"/>
        <v>219999.92</v>
      </c>
      <c r="K27" s="166">
        <f t="shared" si="14"/>
        <v>109999.96</v>
      </c>
      <c r="L27" s="166">
        <f t="shared" si="14"/>
        <v>109999.96</v>
      </c>
      <c r="M27" s="166">
        <f t="shared" si="14"/>
        <v>109999.96</v>
      </c>
      <c r="N27" s="166">
        <f t="shared" si="14"/>
        <v>109999.96</v>
      </c>
      <c r="O27" s="166">
        <f t="shared" si="14"/>
        <v>109999.96</v>
      </c>
      <c r="P27" s="166">
        <f t="shared" si="14"/>
        <v>109999.96</v>
      </c>
      <c r="Q27" s="166">
        <f t="shared" si="14"/>
        <v>268400.32</v>
      </c>
      <c r="R27" s="166">
        <f t="shared" si="14"/>
        <v>127600</v>
      </c>
      <c r="S27" s="166">
        <f t="shared" si="14"/>
        <v>255200</v>
      </c>
      <c r="T27" s="185">
        <f ca="1">SUM($H27:(OFFSET($H27,0,AVANCE060826!$T$2)))</f>
        <v>1148400</v>
      </c>
      <c r="U27" s="876" t="s">
        <v>890</v>
      </c>
      <c r="V27" s="664"/>
    </row>
    <row r="28" spans="1:22" ht="49.5" customHeight="1" x14ac:dyDescent="0.25">
      <c r="A28" s="663">
        <v>380200</v>
      </c>
      <c r="B28" s="639">
        <v>325902</v>
      </c>
      <c r="C28" s="268"/>
      <c r="D28" s="889"/>
      <c r="E28" s="1029"/>
      <c r="F28" s="918"/>
      <c r="G28" s="166" t="s">
        <v>53</v>
      </c>
      <c r="H28" s="166"/>
      <c r="I28" s="166">
        <f t="shared" ref="I28:S28" si="15">VLOOKUP($A28&amp;$B28&amp;I$10,Base,9,FALSE)</f>
        <v>0</v>
      </c>
      <c r="J28" s="166">
        <f t="shared" si="15"/>
        <v>219999.92</v>
      </c>
      <c r="K28" s="166">
        <f t="shared" si="15"/>
        <v>109999.96</v>
      </c>
      <c r="L28" s="166">
        <f t="shared" si="15"/>
        <v>109999.96</v>
      </c>
      <c r="M28" s="166">
        <f t="shared" si="15"/>
        <v>109999.96</v>
      </c>
      <c r="N28" s="166">
        <f t="shared" si="15"/>
        <v>109999.96</v>
      </c>
      <c r="O28" s="166">
        <f t="shared" si="15"/>
        <v>109999.96</v>
      </c>
      <c r="P28" s="166">
        <f t="shared" si="15"/>
        <v>109999.96</v>
      </c>
      <c r="Q28" s="166">
        <f t="shared" si="15"/>
        <v>0</v>
      </c>
      <c r="R28" s="166">
        <f t="shared" si="15"/>
        <v>0</v>
      </c>
      <c r="S28" s="166">
        <f t="shared" si="15"/>
        <v>0</v>
      </c>
      <c r="T28" s="185">
        <f>SUM(H28:S28)</f>
        <v>879999.67999999993</v>
      </c>
      <c r="U28" s="876"/>
      <c r="V28" s="664"/>
    </row>
    <row r="29" spans="1:22" ht="34.5" customHeight="1" x14ac:dyDescent="0.25">
      <c r="A29" s="663">
        <v>140100</v>
      </c>
      <c r="B29" s="639">
        <v>329001</v>
      </c>
      <c r="C29" s="437" t="s">
        <v>884</v>
      </c>
      <c r="D29" s="889" t="s">
        <v>892</v>
      </c>
      <c r="E29" s="1028" t="s">
        <v>893</v>
      </c>
      <c r="F29" s="918">
        <f>SUM(H29:S29)</f>
        <v>392475.00000000006</v>
      </c>
      <c r="G29" s="166" t="s">
        <v>52</v>
      </c>
      <c r="H29" s="166"/>
      <c r="I29" s="166">
        <f t="shared" ref="I29:S29" si="16">VLOOKUP($A29&amp;$B29&amp;I$10,Base,8,FALSE)</f>
        <v>0</v>
      </c>
      <c r="J29" s="166">
        <f t="shared" si="16"/>
        <v>65412.4</v>
      </c>
      <c r="K29" s="166">
        <f t="shared" si="16"/>
        <v>32706.2</v>
      </c>
      <c r="L29" s="166">
        <f t="shared" si="16"/>
        <v>32706.2</v>
      </c>
      <c r="M29" s="166">
        <f t="shared" si="16"/>
        <v>32706.2</v>
      </c>
      <c r="N29" s="166">
        <f t="shared" si="16"/>
        <v>32706.2</v>
      </c>
      <c r="O29" s="166">
        <f t="shared" si="16"/>
        <v>32706.2</v>
      </c>
      <c r="P29" s="166">
        <f t="shared" si="16"/>
        <v>32706.2</v>
      </c>
      <c r="Q29" s="166">
        <f t="shared" si="16"/>
        <v>32713.4</v>
      </c>
      <c r="R29" s="166">
        <f t="shared" si="16"/>
        <v>32707</v>
      </c>
      <c r="S29" s="166">
        <f t="shared" si="16"/>
        <v>65405</v>
      </c>
      <c r="T29" s="185">
        <f ca="1">SUM($H29:(OFFSET($H29,0,AVANCE060826!$T$2)))</f>
        <v>294363.00000000006</v>
      </c>
      <c r="U29" s="876" t="s">
        <v>814</v>
      </c>
    </row>
    <row r="30" spans="1:22" ht="22.5" customHeight="1" x14ac:dyDescent="0.25">
      <c r="A30" s="663">
        <v>140100</v>
      </c>
      <c r="B30" s="639">
        <v>329001</v>
      </c>
      <c r="C30" s="506"/>
      <c r="D30" s="889"/>
      <c r="E30" s="1028"/>
      <c r="F30" s="918"/>
      <c r="G30" s="166" t="s">
        <v>53</v>
      </c>
      <c r="H30" s="166"/>
      <c r="I30" s="166">
        <f t="shared" ref="I30:S30" si="17">VLOOKUP($A30&amp;$B30&amp;I$10,Base,9,FALSE)</f>
        <v>0</v>
      </c>
      <c r="J30" s="166">
        <f t="shared" si="17"/>
        <v>65412.4</v>
      </c>
      <c r="K30" s="166">
        <f t="shared" si="17"/>
        <v>32706.2</v>
      </c>
      <c r="L30" s="166">
        <f t="shared" si="17"/>
        <v>32706.2</v>
      </c>
      <c r="M30" s="166">
        <f t="shared" si="17"/>
        <v>32706.2</v>
      </c>
      <c r="N30" s="166">
        <f t="shared" si="17"/>
        <v>32706.2</v>
      </c>
      <c r="O30" s="166">
        <f t="shared" si="17"/>
        <v>32706.2</v>
      </c>
      <c r="P30" s="166">
        <f t="shared" si="17"/>
        <v>32706.2</v>
      </c>
      <c r="Q30" s="166">
        <f t="shared" si="17"/>
        <v>0</v>
      </c>
      <c r="R30" s="166">
        <f t="shared" si="17"/>
        <v>0</v>
      </c>
      <c r="S30" s="166">
        <f t="shared" si="17"/>
        <v>0</v>
      </c>
      <c r="T30" s="185">
        <f>SUM(H30:S30)</f>
        <v>261649.60000000003</v>
      </c>
      <c r="U30" s="876"/>
    </row>
    <row r="31" spans="1:22" ht="29.25" customHeight="1" x14ac:dyDescent="0.25">
      <c r="A31" s="663">
        <v>50100</v>
      </c>
      <c r="B31" s="639">
        <v>329001</v>
      </c>
      <c r="C31" s="268" t="s">
        <v>894</v>
      </c>
      <c r="D31" s="968" t="s">
        <v>895</v>
      </c>
      <c r="E31" s="970" t="s">
        <v>180</v>
      </c>
      <c r="F31" s="918">
        <f>SUM(H31:S31)</f>
        <v>204000</v>
      </c>
      <c r="G31" s="166" t="s">
        <v>52</v>
      </c>
      <c r="H31" s="166"/>
      <c r="I31" s="166">
        <f t="shared" ref="I31:S31" si="18">VLOOKUP($A31&amp;$B31&amp;I$10,Base,8,FALSE)</f>
        <v>0</v>
      </c>
      <c r="J31" s="166">
        <f t="shared" si="18"/>
        <v>34000</v>
      </c>
      <c r="K31" s="166">
        <f t="shared" si="18"/>
        <v>17000</v>
      </c>
      <c r="L31" s="166">
        <f t="shared" si="18"/>
        <v>17000</v>
      </c>
      <c r="M31" s="166">
        <f t="shared" si="18"/>
        <v>17000</v>
      </c>
      <c r="N31" s="166">
        <f t="shared" si="18"/>
        <v>17000</v>
      </c>
      <c r="O31" s="166">
        <f t="shared" si="18"/>
        <v>17000</v>
      </c>
      <c r="P31" s="166">
        <f t="shared" si="18"/>
        <v>17000</v>
      </c>
      <c r="Q31" s="166">
        <f t="shared" si="18"/>
        <v>17000</v>
      </c>
      <c r="R31" s="166">
        <f t="shared" si="18"/>
        <v>17000</v>
      </c>
      <c r="S31" s="166">
        <f t="shared" si="18"/>
        <v>34000</v>
      </c>
      <c r="T31" s="185">
        <f ca="1">SUM($H31:(OFFSET($H31,0,AVANCE060826!$T$2)))</f>
        <v>153000</v>
      </c>
      <c r="U31" s="876" t="s">
        <v>896</v>
      </c>
    </row>
    <row r="32" spans="1:22" ht="33" customHeight="1" x14ac:dyDescent="0.25">
      <c r="A32" s="663">
        <v>50100</v>
      </c>
      <c r="B32" s="639">
        <v>329001</v>
      </c>
      <c r="C32" s="268"/>
      <c r="D32" s="969"/>
      <c r="E32" s="971"/>
      <c r="F32" s="918"/>
      <c r="G32" s="166" t="s">
        <v>53</v>
      </c>
      <c r="H32" s="166"/>
      <c r="I32" s="166">
        <f t="shared" ref="I32:S32" si="19">VLOOKUP($A32&amp;$B32&amp;I$10,Base,9,FALSE)</f>
        <v>0</v>
      </c>
      <c r="J32" s="166">
        <f t="shared" si="19"/>
        <v>34000</v>
      </c>
      <c r="K32" s="166">
        <f t="shared" si="19"/>
        <v>17000</v>
      </c>
      <c r="L32" s="166">
        <f t="shared" si="19"/>
        <v>17000</v>
      </c>
      <c r="M32" s="166">
        <f t="shared" si="19"/>
        <v>17000</v>
      </c>
      <c r="N32" s="166">
        <f t="shared" si="19"/>
        <v>17000</v>
      </c>
      <c r="O32" s="166">
        <f t="shared" si="19"/>
        <v>17000</v>
      </c>
      <c r="P32" s="166">
        <f t="shared" si="19"/>
        <v>17000</v>
      </c>
      <c r="Q32" s="166">
        <f t="shared" si="19"/>
        <v>17000</v>
      </c>
      <c r="R32" s="166">
        <f t="shared" si="19"/>
        <v>0</v>
      </c>
      <c r="S32" s="166">
        <f t="shared" si="19"/>
        <v>0</v>
      </c>
      <c r="T32" s="185">
        <f>SUM(H32:S32)</f>
        <v>153000</v>
      </c>
      <c r="U32" s="876"/>
    </row>
    <row r="33" spans="1:22" ht="114" customHeight="1" x14ac:dyDescent="0.25">
      <c r="A33" s="755">
        <v>73110</v>
      </c>
      <c r="B33" s="665">
        <v>329301</v>
      </c>
      <c r="C33" s="268"/>
      <c r="D33" s="968" t="s">
        <v>897</v>
      </c>
      <c r="E33" s="970" t="s">
        <v>255</v>
      </c>
      <c r="F33" s="918">
        <f>SUM(H33:S33)</f>
        <v>167040</v>
      </c>
      <c r="G33" s="166" t="s">
        <v>52</v>
      </c>
      <c r="H33" s="166"/>
      <c r="I33" s="166">
        <f t="shared" ref="I33:S33" si="20">VLOOKUP($A33&amp;$B33&amp;I$10,Base,8,FALSE)</f>
        <v>0</v>
      </c>
      <c r="J33" s="166">
        <f t="shared" si="20"/>
        <v>27840</v>
      </c>
      <c r="K33" s="166">
        <f t="shared" si="20"/>
        <v>13920</v>
      </c>
      <c r="L33" s="166">
        <f t="shared" si="20"/>
        <v>13920</v>
      </c>
      <c r="M33" s="166">
        <f t="shared" si="20"/>
        <v>13920</v>
      </c>
      <c r="N33" s="166">
        <f t="shared" si="20"/>
        <v>0</v>
      </c>
      <c r="O33" s="166">
        <f t="shared" si="20"/>
        <v>0</v>
      </c>
      <c r="P33" s="166">
        <f t="shared" si="20"/>
        <v>0</v>
      </c>
      <c r="Q33" s="166">
        <f t="shared" si="20"/>
        <v>55680</v>
      </c>
      <c r="R33" s="166">
        <f t="shared" si="20"/>
        <v>13920</v>
      </c>
      <c r="S33" s="166">
        <f t="shared" si="20"/>
        <v>27840</v>
      </c>
      <c r="T33" s="185">
        <f ca="1">SUM($H33:(OFFSET($H33,0,AVANCE060826!$T$2)))</f>
        <v>125280</v>
      </c>
      <c r="U33" s="876" t="s">
        <v>896</v>
      </c>
    </row>
    <row r="34" spans="1:22" ht="114.75" customHeight="1" x14ac:dyDescent="0.25">
      <c r="A34" s="755">
        <v>73110</v>
      </c>
      <c r="B34" s="665">
        <v>329301</v>
      </c>
      <c r="C34" s="268"/>
      <c r="D34" s="969"/>
      <c r="E34" s="971"/>
      <c r="F34" s="918"/>
      <c r="G34" s="166" t="s">
        <v>53</v>
      </c>
      <c r="H34" s="166"/>
      <c r="I34" s="166">
        <f t="shared" ref="I34:S34" si="21">VLOOKUP($A34&amp;$B34&amp;I$10,Base,9,FALSE)</f>
        <v>0</v>
      </c>
      <c r="J34" s="166">
        <f t="shared" si="21"/>
        <v>27840</v>
      </c>
      <c r="K34" s="166">
        <f t="shared" si="21"/>
        <v>13920</v>
      </c>
      <c r="L34" s="166">
        <f t="shared" si="21"/>
        <v>13920</v>
      </c>
      <c r="M34" s="166">
        <f t="shared" si="21"/>
        <v>13920</v>
      </c>
      <c r="N34" s="166">
        <f t="shared" si="21"/>
        <v>0</v>
      </c>
      <c r="O34" s="166">
        <f t="shared" si="21"/>
        <v>0</v>
      </c>
      <c r="P34" s="166">
        <f t="shared" si="21"/>
        <v>0</v>
      </c>
      <c r="Q34" s="166">
        <f t="shared" si="21"/>
        <v>0</v>
      </c>
      <c r="R34" s="166">
        <f t="shared" si="21"/>
        <v>0</v>
      </c>
      <c r="S34" s="166">
        <f t="shared" si="21"/>
        <v>0</v>
      </c>
      <c r="T34" s="185">
        <f>SUM(H34:S34)</f>
        <v>69600</v>
      </c>
      <c r="U34" s="876"/>
    </row>
    <row r="35" spans="1:22" x14ac:dyDescent="0.25">
      <c r="A35" s="4">
        <v>11</v>
      </c>
      <c r="B35" s="4"/>
      <c r="C35" s="24">
        <f>COUNT(#REF!)</f>
        <v>0</v>
      </c>
      <c r="D35" s="7"/>
      <c r="E35" s="6"/>
      <c r="F35" s="339">
        <f>SUM(F13:F34)</f>
        <v>9696573</v>
      </c>
      <c r="G35" s="161" t="s">
        <v>52</v>
      </c>
      <c r="H35" s="339">
        <f t="shared" ref="H35:M35" si="22">+H13+H15+H17+H33+H19+H23+H25+H29+H21+H31+H27</f>
        <v>0</v>
      </c>
      <c r="I35" s="339">
        <f t="shared" si="22"/>
        <v>0</v>
      </c>
      <c r="J35" s="339">
        <f t="shared" si="22"/>
        <v>1453458.06</v>
      </c>
      <c r="K35" s="339">
        <f t="shared" si="22"/>
        <v>726729.03</v>
      </c>
      <c r="L35" s="339">
        <f t="shared" si="22"/>
        <v>726729.03</v>
      </c>
      <c r="M35" s="339">
        <f t="shared" si="22"/>
        <v>726729.03</v>
      </c>
      <c r="N35" s="339">
        <f>+N13+N15+N17+N33+N19+N23+N25+N29+N21+N31+N27</f>
        <v>712809.03</v>
      </c>
      <c r="O35" s="339">
        <f>+O13+O15+O17+O33+O19+O23+O25+O29+O21+O31+O33</f>
        <v>602809.07000000007</v>
      </c>
      <c r="P35" s="339">
        <f>+P13+P15+P17+P33+P19+P23+P25+P29+P21+P31+P33</f>
        <v>408692.32</v>
      </c>
      <c r="Q35" s="339">
        <f>+Q13+Q15+Q17+Q33+Q19+Q23+Q25+Q29+Q21+Q31+Q33</f>
        <v>1387492.59</v>
      </c>
      <c r="R35" s="339">
        <f>+R13+R15+R17+R33+R19+R23+R25+R29+R21+R31+R33</f>
        <v>725797.2</v>
      </c>
      <c r="S35" s="339">
        <f>+S13+S15+S17+S33+S19+S23+S25+S29+S21+S31+S33</f>
        <v>1451567.4</v>
      </c>
      <c r="T35" s="339">
        <f ca="1">+T13+T15+T17+T33+T19+T23+T25+T29+T21+T31+T27</f>
        <v>7178168.4000000004</v>
      </c>
      <c r="U35" s="5"/>
    </row>
    <row r="36" spans="1:22" ht="31.5" customHeight="1" x14ac:dyDescent="0.25">
      <c r="F36" s="186"/>
      <c r="G36" s="166" t="s">
        <v>53</v>
      </c>
      <c r="H36" s="339">
        <f>+H14+H16+H18+H34+H20+H24+H26+H30+H22+H32</f>
        <v>0</v>
      </c>
      <c r="I36" s="339">
        <f>+I14+I16+I18+I34+I20+I24+I26+I30+I22+I32</f>
        <v>0</v>
      </c>
      <c r="J36" s="339">
        <f>+J14+J16+J18+J34+J20+J24+J26+J30+J22+J32</f>
        <v>1233458.1400000001</v>
      </c>
      <c r="K36" s="339">
        <f>+K14+K16+K18+K34+K20+K24+K26+K30+K22+K32</f>
        <v>616729.07000000007</v>
      </c>
      <c r="L36" s="339">
        <f>+L14+L16+L18+L34+L20+L24+L26+L30+L22+L32</f>
        <v>616729.07000000007</v>
      </c>
      <c r="M36" s="339">
        <f t="shared" ref="M36:S36" si="23">+M14+M16+M18+M34+M20+M24+M26+M30+M22+M32</f>
        <v>616729.07000000007</v>
      </c>
      <c r="N36" s="339">
        <f t="shared" si="23"/>
        <v>602809.07000000007</v>
      </c>
      <c r="O36" s="339">
        <f t="shared" si="23"/>
        <v>602809.07000000007</v>
      </c>
      <c r="P36" s="339">
        <f t="shared" si="23"/>
        <v>408692.32</v>
      </c>
      <c r="Q36" s="339">
        <f t="shared" si="23"/>
        <v>47793.93</v>
      </c>
      <c r="R36" s="339">
        <f t="shared" si="23"/>
        <v>0</v>
      </c>
      <c r="S36" s="339">
        <f t="shared" si="23"/>
        <v>0</v>
      </c>
      <c r="T36" s="339">
        <f>+T14+T16+T18+T34+T20+T24+T26+T30+T22+T32+T28</f>
        <v>5625749.4199999999</v>
      </c>
      <c r="U36" s="89"/>
      <c r="V36" s="666"/>
    </row>
    <row r="37" spans="1:22" ht="31.5" customHeight="1" x14ac:dyDescent="0.25">
      <c r="F37" s="667"/>
      <c r="G37" s="667"/>
      <c r="H37" s="667"/>
      <c r="I37" s="667"/>
      <c r="J37" s="667"/>
      <c r="K37" s="667"/>
      <c r="L37" s="667"/>
      <c r="M37" s="667"/>
      <c r="N37" s="667"/>
      <c r="O37" s="667"/>
      <c r="P37" s="667"/>
      <c r="Q37" s="667"/>
      <c r="R37" s="667"/>
      <c r="S37" s="667"/>
      <c r="T37" s="667"/>
      <c r="U37" s="89"/>
      <c r="V37" s="668"/>
    </row>
    <row r="38" spans="1:22" ht="31.5" customHeight="1" x14ac:dyDescent="0.25">
      <c r="E38" s="364"/>
      <c r="F38" s="667"/>
      <c r="G38" s="667"/>
      <c r="H38" s="667"/>
      <c r="I38" s="667"/>
      <c r="J38" s="667"/>
      <c r="K38" s="667"/>
      <c r="L38" s="667"/>
      <c r="M38" s="667"/>
      <c r="N38" s="667"/>
      <c r="O38" s="667"/>
      <c r="P38" s="667"/>
      <c r="Q38" s="667"/>
      <c r="R38" s="667"/>
      <c r="S38" s="667"/>
      <c r="T38" s="667"/>
      <c r="U38" s="118"/>
      <c r="V38" s="9"/>
    </row>
  </sheetData>
  <autoFilter ref="B12:B36"/>
  <mergeCells count="63">
    <mergeCell ref="C11:C12"/>
    <mergeCell ref="D11:D12"/>
    <mergeCell ref="E11:E12"/>
    <mergeCell ref="F11:F12"/>
    <mergeCell ref="M11:M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D13:D14"/>
    <mergeCell ref="E13:E14"/>
    <mergeCell ref="F13:F14"/>
    <mergeCell ref="N11:N12"/>
    <mergeCell ref="O11:O12"/>
    <mergeCell ref="U13:U14"/>
    <mergeCell ref="Q11:Q12"/>
    <mergeCell ref="R11:R12"/>
    <mergeCell ref="S11:S12"/>
    <mergeCell ref="T11:T12"/>
    <mergeCell ref="U15:U16"/>
    <mergeCell ref="D17:D18"/>
    <mergeCell ref="E17:E18"/>
    <mergeCell ref="F17:F18"/>
    <mergeCell ref="U17:U18"/>
    <mergeCell ref="D15:D16"/>
    <mergeCell ref="E15:E16"/>
    <mergeCell ref="F15:F16"/>
    <mergeCell ref="U19:U20"/>
    <mergeCell ref="D21:D22"/>
    <mergeCell ref="E21:E22"/>
    <mergeCell ref="F21:F22"/>
    <mergeCell ref="D23:D24"/>
    <mergeCell ref="E23:E24"/>
    <mergeCell ref="F23:F24"/>
    <mergeCell ref="D19:D20"/>
    <mergeCell ref="E19:E20"/>
    <mergeCell ref="F19:F20"/>
    <mergeCell ref="U23:U24"/>
    <mergeCell ref="D25:D26"/>
    <mergeCell ref="E25:E26"/>
    <mergeCell ref="F25:F26"/>
    <mergeCell ref="U25:U26"/>
    <mergeCell ref="U27:U28"/>
    <mergeCell ref="D29:D30"/>
    <mergeCell ref="E29:E30"/>
    <mergeCell ref="F29:F30"/>
    <mergeCell ref="U29:U30"/>
    <mergeCell ref="D27:D28"/>
    <mergeCell ref="E27:E28"/>
    <mergeCell ref="F27:F28"/>
    <mergeCell ref="U31:U32"/>
    <mergeCell ref="D33:D34"/>
    <mergeCell ref="E33:E34"/>
    <mergeCell ref="F33:F34"/>
    <mergeCell ref="U33:U34"/>
    <mergeCell ref="D31:D32"/>
    <mergeCell ref="E31:E32"/>
    <mergeCell ref="F31:F3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5" fitToHeight="21" orientation="landscape" r:id="rId1"/>
  <rowBreaks count="1" manualBreakCount="1">
    <brk id="24" max="16383" man="1"/>
  </rowBreaks>
  <colBreaks count="1" manualBreakCount="1">
    <brk id="21" max="1048575" man="1"/>
  </col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zoomScale="70" zoomScaleNormal="70" zoomScaleSheetLayoutView="85" zoomScalePageLayoutView="80" workbookViewId="0">
      <pane xSplit="3" ySplit="11" topLeftCell="D17" activePane="bottomRight" state="frozen"/>
      <selection pane="topRight" activeCell="D1" sqref="D1"/>
      <selection pane="bottomLeft" activeCell="A12" sqref="A12"/>
      <selection pane="bottomRight" activeCell="O17" sqref="O17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6" width="19.28515625" customWidth="1"/>
    <col min="7" max="7" width="17.85546875" customWidth="1"/>
    <col min="8" max="8" width="22.140625" customWidth="1"/>
    <col min="9" max="9" width="18.7109375" customWidth="1"/>
    <col min="10" max="10" width="18.140625" customWidth="1"/>
    <col min="11" max="12" width="15.28515625" hidden="1" customWidth="1"/>
    <col min="13" max="13" width="41.28515625" customWidth="1"/>
    <col min="14" max="14" width="0.85546875" customWidth="1"/>
    <col min="15" max="15" width="12.7109375" customWidth="1"/>
    <col min="16" max="16" width="18.85546875" customWidth="1"/>
    <col min="17" max="17" width="20.85546875" customWidth="1"/>
    <col min="18" max="22" width="12.7109375" customWidth="1"/>
    <col min="23" max="16365" width="11.42578125" customWidth="1"/>
  </cols>
  <sheetData>
    <row r="1" spans="1:17" ht="18" x14ac:dyDescent="0.25">
      <c r="D1" s="10" t="s">
        <v>25</v>
      </c>
      <c r="M1" s="11"/>
    </row>
    <row r="2" spans="1:17" ht="18" x14ac:dyDescent="0.25">
      <c r="D2" s="10" t="s">
        <v>24</v>
      </c>
    </row>
    <row r="3" spans="1:17" ht="18" x14ac:dyDescent="0.25">
      <c r="D3" s="10" t="s">
        <v>23</v>
      </c>
    </row>
    <row r="4" spans="1:17" ht="18" x14ac:dyDescent="0.25">
      <c r="D4" s="10" t="s">
        <v>22</v>
      </c>
      <c r="K4" s="9"/>
      <c r="L4" s="9"/>
    </row>
    <row r="5" spans="1:17" ht="18" x14ac:dyDescent="0.25">
      <c r="D5" s="10" t="s">
        <v>21</v>
      </c>
      <c r="I5" s="192"/>
    </row>
    <row r="6" spans="1:17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7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7" ht="18" x14ac:dyDescent="0.25">
      <c r="D8" s="39" t="s">
        <v>31</v>
      </c>
      <c r="E8" s="10" t="s">
        <v>153</v>
      </c>
      <c r="H8" s="9"/>
      <c r="I8" s="192"/>
      <c r="J8" s="9"/>
    </row>
    <row r="9" spans="1:17" ht="3.75" customHeight="1" thickBot="1" x14ac:dyDescent="0.3"/>
    <row r="10" spans="1:17" ht="27.75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81" t="s">
        <v>26</v>
      </c>
      <c r="G10" s="881" t="s">
        <v>215</v>
      </c>
      <c r="H10" s="881" t="s">
        <v>90</v>
      </c>
      <c r="I10" s="881"/>
      <c r="J10" s="881" t="s">
        <v>27</v>
      </c>
      <c r="K10" s="881"/>
      <c r="L10" s="881" t="s">
        <v>28</v>
      </c>
      <c r="M10" s="850" t="s">
        <v>14</v>
      </c>
    </row>
    <row r="11" spans="1:17" ht="42" customHeight="1" thickBot="1" x14ac:dyDescent="0.3">
      <c r="A11" s="33" t="s">
        <v>13</v>
      </c>
      <c r="B11" s="25" t="s">
        <v>12</v>
      </c>
      <c r="C11" s="845"/>
      <c r="D11" s="829"/>
      <c r="E11" s="848"/>
      <c r="F11" s="879"/>
      <c r="G11" s="877"/>
      <c r="H11" s="153" t="s">
        <v>91</v>
      </c>
      <c r="I11" s="153" t="s">
        <v>92</v>
      </c>
      <c r="J11" s="153" t="s">
        <v>962</v>
      </c>
      <c r="K11" s="153" t="s">
        <v>29</v>
      </c>
      <c r="L11" s="877"/>
      <c r="M11" s="882"/>
      <c r="O11" s="486"/>
      <c r="Q11" s="9"/>
    </row>
    <row r="12" spans="1:17" ht="60.75" customHeight="1" thickTop="1" x14ac:dyDescent="0.25">
      <c r="A12" s="416">
        <v>345801</v>
      </c>
      <c r="B12" s="417">
        <v>800201</v>
      </c>
      <c r="C12" s="419" t="s">
        <v>905</v>
      </c>
      <c r="D12" s="240" t="s">
        <v>906</v>
      </c>
      <c r="E12" s="349" t="s">
        <v>907</v>
      </c>
      <c r="F12" s="166">
        <f>ZAC_Calendario!F13</f>
        <v>281748</v>
      </c>
      <c r="G12" s="166">
        <f>+F12/12</f>
        <v>23479</v>
      </c>
      <c r="H12" s="683">
        <f ca="1">ZAC_Calendario!T13</f>
        <v>211310.99999999997</v>
      </c>
      <c r="I12" s="683">
        <f>ZAC_Calendario!T14</f>
        <v>211305.59999999998</v>
      </c>
      <c r="J12" s="67">
        <f ca="1">+I12-H12</f>
        <v>-5.3999999999941792</v>
      </c>
      <c r="K12" s="67">
        <f ca="1">+J12/H12*100</f>
        <v>-2.5554751054105936E-3</v>
      </c>
      <c r="L12" s="67">
        <f ca="1">+I12/H12*100</f>
        <v>99.99744452489459</v>
      </c>
      <c r="M12" s="255" t="s">
        <v>984</v>
      </c>
      <c r="O12" s="486"/>
      <c r="P12">
        <v>140870.39999999999</v>
      </c>
      <c r="Q12" s="9">
        <f ca="1">H12-P12</f>
        <v>70440.599999999977</v>
      </c>
    </row>
    <row r="13" spans="1:17" ht="45" customHeight="1" x14ac:dyDescent="0.25">
      <c r="A13" s="345">
        <v>349102</v>
      </c>
      <c r="B13" s="346">
        <v>900110</v>
      </c>
      <c r="C13" s="347" t="s">
        <v>908</v>
      </c>
      <c r="D13" s="240" t="s">
        <v>909</v>
      </c>
      <c r="E13" s="349" t="s">
        <v>190</v>
      </c>
      <c r="F13" s="166">
        <f>ZAC_Calendario!F15</f>
        <v>904800</v>
      </c>
      <c r="G13" s="166">
        <v>75400</v>
      </c>
      <c r="H13" s="683">
        <f ca="1">ZAC_Calendario!T15</f>
        <v>678600</v>
      </c>
      <c r="I13" s="67">
        <f>ZAC_Calendario!T16</f>
        <v>678599.57</v>
      </c>
      <c r="J13" s="67">
        <f ca="1">+I13-H13</f>
        <v>-0.43000000005122274</v>
      </c>
      <c r="K13" s="67">
        <f ca="1">+J13/H13*100</f>
        <v>-6.3365753028473724E-5</v>
      </c>
      <c r="L13" s="67">
        <f ca="1">+I13/H13*100</f>
        <v>99.999936634246964</v>
      </c>
      <c r="M13" s="255" t="s">
        <v>984</v>
      </c>
      <c r="O13" s="486"/>
      <c r="P13">
        <v>452399.70999999996</v>
      </c>
      <c r="Q13" s="9">
        <f t="shared" ref="Q13:Q21" ca="1" si="0">H13-P13</f>
        <v>226200.29000000004</v>
      </c>
    </row>
    <row r="14" spans="1:17" ht="45" customHeight="1" x14ac:dyDescent="0.25">
      <c r="A14" s="345">
        <v>345904</v>
      </c>
      <c r="B14" s="346">
        <v>380200</v>
      </c>
      <c r="C14" s="267" t="s">
        <v>910</v>
      </c>
      <c r="D14" s="240" t="s">
        <v>911</v>
      </c>
      <c r="E14" s="349" t="s">
        <v>196</v>
      </c>
      <c r="F14" s="166">
        <f>ZAC_Calendario!F17</f>
        <v>171048</v>
      </c>
      <c r="G14" s="166">
        <f>+F14/12</f>
        <v>14254</v>
      </c>
      <c r="H14" s="683">
        <f ca="1">ZAC_Calendario!T17</f>
        <v>128286</v>
      </c>
      <c r="I14" s="67">
        <f>ZAC_Calendario!T18</f>
        <v>114028.95999999999</v>
      </c>
      <c r="J14" s="67">
        <f t="shared" ref="J14:J22" ca="1" si="1">H14-I14</f>
        <v>14257.040000000008</v>
      </c>
      <c r="K14" s="67">
        <f ca="1">+J14/H14*100</f>
        <v>11.113480816301085</v>
      </c>
      <c r="L14" s="67">
        <f ca="1">+I14/H14*100</f>
        <v>88.886519183698923</v>
      </c>
      <c r="M14" s="255" t="s">
        <v>984</v>
      </c>
      <c r="N14" s="192"/>
      <c r="O14" s="486"/>
      <c r="P14">
        <v>85521.72</v>
      </c>
      <c r="Q14" s="9">
        <f t="shared" ca="1" si="0"/>
        <v>42764.28</v>
      </c>
    </row>
    <row r="15" spans="1:17" ht="78.75" customHeight="1" x14ac:dyDescent="0.25">
      <c r="A15" s="345">
        <v>345906</v>
      </c>
      <c r="B15" s="346">
        <v>380200</v>
      </c>
      <c r="C15" s="267" t="s">
        <v>912</v>
      </c>
      <c r="D15" s="240" t="s">
        <v>913</v>
      </c>
      <c r="E15" s="349" t="s">
        <v>721</v>
      </c>
      <c r="F15" s="166">
        <f>ZAC_Calendario!F19</f>
        <v>218999.99999999997</v>
      </c>
      <c r="G15" s="166">
        <f>+F15/12</f>
        <v>18249.999999999996</v>
      </c>
      <c r="H15" s="683">
        <f ca="1">ZAC_Calendario!T19</f>
        <v>164249.99999999997</v>
      </c>
      <c r="I15" s="67">
        <f>ZAC_Calendario!T20</f>
        <v>164238.39999999997</v>
      </c>
      <c r="J15" s="67">
        <f t="shared" ca="1" si="1"/>
        <v>11.600000000005821</v>
      </c>
      <c r="K15" s="67">
        <f t="shared" ref="K15:K21" ca="1" si="2">+J15/H15*100</f>
        <v>7.0624048706275947E-3</v>
      </c>
      <c r="L15" s="67">
        <f t="shared" ref="L15:L21" ca="1" si="3">+I15/H15*100</f>
        <v>99.992937595129376</v>
      </c>
      <c r="M15" s="255" t="s">
        <v>984</v>
      </c>
      <c r="N15" s="192"/>
      <c r="O15" s="486"/>
      <c r="P15">
        <v>109492.26999999999</v>
      </c>
      <c r="Q15" s="9">
        <f t="shared" ca="1" si="0"/>
        <v>54757.729999999981</v>
      </c>
    </row>
    <row r="16" spans="1:17" ht="63" customHeight="1" x14ac:dyDescent="0.25">
      <c r="A16" s="466">
        <v>345901</v>
      </c>
      <c r="B16" s="346">
        <v>380200</v>
      </c>
      <c r="C16" s="267"/>
      <c r="D16" s="240" t="s">
        <v>914</v>
      </c>
      <c r="E16" s="349" t="s">
        <v>721</v>
      </c>
      <c r="F16" s="166">
        <f>ZAC_Calendario!F21</f>
        <v>232728</v>
      </c>
      <c r="G16" s="166">
        <f>+F16/12</f>
        <v>19394</v>
      </c>
      <c r="H16" s="683">
        <f ca="1">ZAC_Calendario!T21</f>
        <v>174546</v>
      </c>
      <c r="I16" s="67">
        <f>ZAC_Calendario!T22</f>
        <v>174541.94999999998</v>
      </c>
      <c r="J16" s="67">
        <f t="shared" ca="1" si="1"/>
        <v>4.0500000000174623</v>
      </c>
      <c r="K16" s="67">
        <f t="shared" ca="1" si="2"/>
        <v>2.3203052490561012E-3</v>
      </c>
      <c r="L16" s="67">
        <f t="shared" ca="1" si="3"/>
        <v>99.997679694750943</v>
      </c>
      <c r="M16" s="255" t="s">
        <v>984</v>
      </c>
      <c r="N16" s="192"/>
      <c r="O16" s="486"/>
      <c r="P16">
        <v>116361.3</v>
      </c>
      <c r="Q16" s="9">
        <f t="shared" ca="1" si="0"/>
        <v>58184.7</v>
      </c>
    </row>
    <row r="17" spans="1:18" ht="82.5" customHeight="1" x14ac:dyDescent="0.25">
      <c r="A17" s="466">
        <v>349101</v>
      </c>
      <c r="B17" s="346">
        <v>140100</v>
      </c>
      <c r="C17" s="267" t="s">
        <v>613</v>
      </c>
      <c r="D17" s="240" t="s">
        <v>915</v>
      </c>
      <c r="E17" s="349" t="s">
        <v>916</v>
      </c>
      <c r="F17" s="166">
        <f>ZAC_Calendario!F23</f>
        <v>487200</v>
      </c>
      <c r="G17" s="166">
        <f>+F17/12</f>
        <v>40600</v>
      </c>
      <c r="H17" s="683">
        <f ca="1">ZAC_Calendario!T23</f>
        <v>365400</v>
      </c>
      <c r="I17" s="67">
        <f>ZAC_Calendario!T24</f>
        <v>365399.93</v>
      </c>
      <c r="J17" s="67">
        <f t="shared" ca="1" si="1"/>
        <v>7.0000000006984919E-2</v>
      </c>
      <c r="K17" s="67">
        <f t="shared" ca="1" si="2"/>
        <v>1.9157088124516947E-5</v>
      </c>
      <c r="L17" s="67">
        <f t="shared" ca="1" si="3"/>
        <v>99.999980842911867</v>
      </c>
      <c r="M17" s="255" t="s">
        <v>984</v>
      </c>
      <c r="O17" s="486"/>
      <c r="P17" s="9">
        <v>243599.96</v>
      </c>
      <c r="Q17" s="9">
        <f t="shared" ca="1" si="0"/>
        <v>121800.04000000001</v>
      </c>
    </row>
    <row r="18" spans="1:18" ht="69.75" customHeight="1" x14ac:dyDescent="0.25">
      <c r="A18" s="444">
        <v>349001</v>
      </c>
      <c r="B18" s="349">
        <v>900110</v>
      </c>
      <c r="C18" s="684" t="s">
        <v>613</v>
      </c>
      <c r="D18" s="240" t="s">
        <v>917</v>
      </c>
      <c r="E18" s="349" t="s">
        <v>761</v>
      </c>
      <c r="F18" s="166">
        <f>ZAC_Calendario!F25</f>
        <v>794772</v>
      </c>
      <c r="G18" s="166">
        <v>66230.2</v>
      </c>
      <c r="H18" s="683">
        <f ca="1">ZAC_Calendario!T25</f>
        <v>596079</v>
      </c>
      <c r="I18" s="67">
        <f>ZAC_Calendario!T26</f>
        <v>456759.83999999997</v>
      </c>
      <c r="J18" s="67">
        <f t="shared" ca="1" si="1"/>
        <v>139319.16000000003</v>
      </c>
      <c r="K18" s="67">
        <f t="shared" ca="1" si="2"/>
        <v>23.372599940611906</v>
      </c>
      <c r="L18" s="67">
        <f t="shared" ca="1" si="3"/>
        <v>76.627400059388094</v>
      </c>
      <c r="M18" s="255" t="s">
        <v>318</v>
      </c>
      <c r="O18" s="486"/>
      <c r="P18" s="688">
        <v>342569.88</v>
      </c>
      <c r="Q18" s="9">
        <f t="shared" ca="1" si="0"/>
        <v>253509.12</v>
      </c>
    </row>
    <row r="19" spans="1:18" ht="82.5" customHeight="1" x14ac:dyDescent="0.25">
      <c r="A19" s="507">
        <v>349001</v>
      </c>
      <c r="B19" s="544" t="s">
        <v>37</v>
      </c>
      <c r="C19" s="685" t="s">
        <v>613</v>
      </c>
      <c r="D19" s="240" t="s">
        <v>918</v>
      </c>
      <c r="E19" s="349" t="s">
        <v>180</v>
      </c>
      <c r="F19" s="166">
        <f>ZAC_Calendario!F27</f>
        <v>162000</v>
      </c>
      <c r="G19" s="166">
        <f>+F19/12</f>
        <v>13500</v>
      </c>
      <c r="H19" s="683">
        <f ca="1">ZAC_Calendario!T27</f>
        <v>121500</v>
      </c>
      <c r="I19" s="67">
        <f>ZAC_Calendario!T28</f>
        <v>121499.99</v>
      </c>
      <c r="J19" s="67">
        <f t="shared" ca="1" si="1"/>
        <v>9.9999999947613105E-3</v>
      </c>
      <c r="K19" s="67">
        <f t="shared" ca="1" si="2"/>
        <v>8.2304526705854394E-6</v>
      </c>
      <c r="L19" s="67">
        <f t="shared" ca="1" si="3"/>
        <v>99.999991769547321</v>
      </c>
      <c r="M19" s="255" t="s">
        <v>984</v>
      </c>
      <c r="O19" s="486"/>
      <c r="P19">
        <v>80999.990000000005</v>
      </c>
      <c r="Q19" s="9">
        <f t="shared" ca="1" si="0"/>
        <v>40500.009999999995</v>
      </c>
    </row>
    <row r="20" spans="1:18" ht="65.25" customHeight="1" x14ac:dyDescent="0.25">
      <c r="A20" s="507"/>
      <c r="B20" s="544"/>
      <c r="C20" s="685"/>
      <c r="D20" s="240" t="s">
        <v>919</v>
      </c>
      <c r="E20" s="349" t="s">
        <v>255</v>
      </c>
      <c r="F20" s="166">
        <f>ZAC_Calendario!F29</f>
        <v>84189</v>
      </c>
      <c r="G20" s="166">
        <f>+F20/6</f>
        <v>14031.5</v>
      </c>
      <c r="H20" s="683">
        <f ca="1">ZAC_Calendario!T29</f>
        <v>63144</v>
      </c>
      <c r="I20" s="67">
        <f>ZAC_Calendario!T30</f>
        <v>35077.19</v>
      </c>
      <c r="J20" s="67">
        <f t="shared" ca="1" si="1"/>
        <v>28066.809999999998</v>
      </c>
      <c r="K20" s="67">
        <f t="shared" ca="1" si="2"/>
        <v>44.448894590143162</v>
      </c>
      <c r="L20" s="67">
        <f t="shared" ca="1" si="3"/>
        <v>55.551105409856838</v>
      </c>
      <c r="M20" s="255" t="s">
        <v>93</v>
      </c>
      <c r="O20" s="486"/>
      <c r="P20">
        <v>35077.19</v>
      </c>
      <c r="Q20" s="9">
        <f t="shared" ca="1" si="0"/>
        <v>28066.809999999998</v>
      </c>
    </row>
    <row r="21" spans="1:18" ht="81" customHeight="1" thickBot="1" x14ac:dyDescent="0.3">
      <c r="A21" s="507"/>
      <c r="B21" s="544"/>
      <c r="C21" s="685"/>
      <c r="D21" s="212" t="s">
        <v>920</v>
      </c>
      <c r="E21" s="584" t="s">
        <v>921</v>
      </c>
      <c r="F21" s="166">
        <f>ZAC_Calendario!F31</f>
        <v>111360</v>
      </c>
      <c r="G21" s="518">
        <f>+F21/6</f>
        <v>18560</v>
      </c>
      <c r="H21" s="687">
        <f ca="1">ZAC_Calendario!T31</f>
        <v>83520</v>
      </c>
      <c r="I21" s="259">
        <f>ZAC_Calendario!T32</f>
        <v>46399.399999999994</v>
      </c>
      <c r="J21" s="259">
        <f t="shared" ca="1" si="1"/>
        <v>37120.600000000006</v>
      </c>
      <c r="K21" s="259">
        <f t="shared" ca="1" si="2"/>
        <v>44.44516283524905</v>
      </c>
      <c r="L21" s="259">
        <f t="shared" ca="1" si="3"/>
        <v>55.55483716475095</v>
      </c>
      <c r="M21" s="255" t="s">
        <v>93</v>
      </c>
      <c r="O21" s="486"/>
      <c r="P21">
        <v>46399.399999999994</v>
      </c>
      <c r="Q21" s="9">
        <f t="shared" ca="1" si="0"/>
        <v>37120.600000000006</v>
      </c>
    </row>
    <row r="22" spans="1:18" ht="15.75" thickBot="1" x14ac:dyDescent="0.3">
      <c r="A22" s="4"/>
      <c r="B22" s="4">
        <v>10</v>
      </c>
      <c r="C22" s="24">
        <f>COUNT(#REF!)</f>
        <v>0</v>
      </c>
      <c r="D22" s="7"/>
      <c r="E22" s="6"/>
      <c r="F22" s="85">
        <f>SUM(F12:F21)</f>
        <v>3448845</v>
      </c>
      <c r="G22" s="32">
        <f>SUM(G12:G21)</f>
        <v>303698.7</v>
      </c>
      <c r="H22" s="215">
        <f ca="1">SUM(H12:H21)</f>
        <v>2586636</v>
      </c>
      <c r="I22" s="32">
        <f>SUM(I12:I21)</f>
        <v>2367850.8299999996</v>
      </c>
      <c r="J22" s="32">
        <f t="shared" ca="1" si="1"/>
        <v>218785.17000000039</v>
      </c>
      <c r="K22" s="150">
        <f ca="1">+J22/H22*100</f>
        <v>8.4582898405496714</v>
      </c>
      <c r="L22" s="151">
        <f ca="1">+I22/H22*100</f>
        <v>91.541710159450332</v>
      </c>
      <c r="M22" s="5"/>
      <c r="O22" s="9"/>
      <c r="Q22" s="9"/>
      <c r="R22" s="9"/>
    </row>
    <row r="23" spans="1:18" ht="31.5" customHeight="1" x14ac:dyDescent="0.25">
      <c r="F23" s="299"/>
      <c r="G23" s="3"/>
      <c r="H23" s="2"/>
      <c r="I23" s="2"/>
      <c r="J23" s="2"/>
      <c r="K23" s="2"/>
      <c r="L23" s="2"/>
      <c r="M23" s="857"/>
    </row>
    <row r="24" spans="1:18" ht="31.5" customHeight="1" x14ac:dyDescent="0.25">
      <c r="H24" s="2"/>
      <c r="I24" s="2"/>
      <c r="J24" s="2"/>
      <c r="K24" s="2"/>
      <c r="L24" s="2"/>
      <c r="M24" s="857"/>
      <c r="O24" s="688"/>
      <c r="Q24" s="9"/>
    </row>
    <row r="25" spans="1:18" ht="31.5" customHeight="1" x14ac:dyDescent="0.25"/>
  </sheetData>
  <mergeCells count="12">
    <mergeCell ref="M10:M11"/>
    <mergeCell ref="M23:M24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8" fitToHeight="21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="80" zoomScaleNormal="100" zoomScaleSheetLayoutView="80" zoomScalePageLayoutView="80" workbookViewId="0">
      <pane xSplit="5" ySplit="12" topLeftCell="K28" activePane="bottomRight" state="frozen"/>
      <selection pane="topRight" activeCell="F1" sqref="F1"/>
      <selection pane="bottomLeft" activeCell="A12" sqref="A12"/>
      <selection pane="bottomRight" activeCell="T34" sqref="T34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6" width="16.85546875" customWidth="1"/>
    <col min="7" max="19" width="15" customWidth="1"/>
    <col min="20" max="20" width="19.140625" customWidth="1"/>
    <col min="21" max="21" width="47.140625" customWidth="1"/>
    <col min="22" max="22" width="6.5703125" customWidth="1"/>
    <col min="23" max="23" width="28" customWidth="1"/>
    <col min="24" max="16373" width="11.42578125" customWidth="1"/>
  </cols>
  <sheetData>
    <row r="1" spans="1:21" ht="18" x14ac:dyDescent="0.25">
      <c r="F1" s="10" t="s">
        <v>25</v>
      </c>
      <c r="U1" s="11"/>
    </row>
    <row r="2" spans="1:21" ht="18" x14ac:dyDescent="0.25">
      <c r="F2" s="10" t="s">
        <v>24</v>
      </c>
    </row>
    <row r="3" spans="1:21" ht="18" x14ac:dyDescent="0.25">
      <c r="F3" s="10" t="s">
        <v>23</v>
      </c>
    </row>
    <row r="4" spans="1:21" ht="18" x14ac:dyDescent="0.25">
      <c r="F4" s="10" t="s">
        <v>22</v>
      </c>
    </row>
    <row r="5" spans="1:21" ht="18" x14ac:dyDescent="0.25">
      <c r="F5" s="10" t="s">
        <v>21</v>
      </c>
    </row>
    <row r="6" spans="1:21" ht="20.25" x14ac:dyDescent="0.3">
      <c r="E6" s="15"/>
      <c r="F6" s="14" t="s">
        <v>20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153</v>
      </c>
      <c r="T8" s="9"/>
    </row>
    <row r="9" spans="1:21" ht="18.75" thickBot="1" x14ac:dyDescent="0.3">
      <c r="D9" s="39"/>
      <c r="E9" s="10"/>
      <c r="T9" s="9"/>
    </row>
    <row r="10" spans="1:21" ht="15.75" hidden="1" thickBot="1" x14ac:dyDescent="0.3"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64"/>
      <c r="B11" s="63" t="s">
        <v>18</v>
      </c>
      <c r="C11" s="844" t="s">
        <v>17</v>
      </c>
      <c r="D11" s="879" t="s">
        <v>16</v>
      </c>
      <c r="E11" s="848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167</v>
      </c>
      <c r="R11" s="877" t="s">
        <v>49</v>
      </c>
      <c r="S11" s="877" t="s">
        <v>50</v>
      </c>
      <c r="T11" s="880" t="s">
        <v>51</v>
      </c>
      <c r="U11" s="877" t="s">
        <v>14</v>
      </c>
    </row>
    <row r="12" spans="1:21" ht="34.5" customHeight="1" thickBot="1" x14ac:dyDescent="0.3">
      <c r="A12" s="25" t="s">
        <v>12</v>
      </c>
      <c r="B12" s="33" t="s">
        <v>13</v>
      </c>
      <c r="C12" s="845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40.5" customHeight="1" thickTop="1" thickBot="1" x14ac:dyDescent="0.3">
      <c r="A13" s="417">
        <v>800201</v>
      </c>
      <c r="B13" s="416">
        <v>345801</v>
      </c>
      <c r="C13" s="419" t="s">
        <v>905</v>
      </c>
      <c r="D13" s="873" t="s">
        <v>906</v>
      </c>
      <c r="E13" s="943" t="s">
        <v>907</v>
      </c>
      <c r="F13" s="918">
        <f>SUM(H13:S13)</f>
        <v>281748</v>
      </c>
      <c r="G13" s="166" t="s">
        <v>52</v>
      </c>
      <c r="H13" s="166"/>
      <c r="I13" s="166">
        <f t="shared" ref="I13:S13" si="0">VLOOKUP($A13&amp;$B13&amp;I$10,Base,8,FALSE)</f>
        <v>23478.400000000001</v>
      </c>
      <c r="J13" s="166">
        <f t="shared" si="0"/>
        <v>23478.400000000001</v>
      </c>
      <c r="K13" s="166">
        <f t="shared" si="0"/>
        <v>23478.400000000001</v>
      </c>
      <c r="L13" s="166">
        <f t="shared" si="0"/>
        <v>23478.400000000001</v>
      </c>
      <c r="M13" s="166">
        <f t="shared" si="0"/>
        <v>23478.400000000001</v>
      </c>
      <c r="N13" s="166">
        <f t="shared" si="0"/>
        <v>23478.400000000001</v>
      </c>
      <c r="O13" s="166">
        <f t="shared" si="0"/>
        <v>23478.400000000001</v>
      </c>
      <c r="P13" s="166">
        <f t="shared" si="0"/>
        <v>23478.400000000001</v>
      </c>
      <c r="Q13" s="166">
        <f t="shared" si="0"/>
        <v>23483.8</v>
      </c>
      <c r="R13" s="166">
        <f t="shared" si="0"/>
        <v>23479</v>
      </c>
      <c r="S13" s="166">
        <f t="shared" si="0"/>
        <v>46958</v>
      </c>
      <c r="T13" s="683">
        <f ca="1">SUM($H13:(OFFSET($H13,0,AVANCE060826!$T$2)))</f>
        <v>211310.99999999997</v>
      </c>
      <c r="U13" s="934"/>
    </row>
    <row r="14" spans="1:21" ht="40.5" customHeight="1" thickTop="1" x14ac:dyDescent="0.25">
      <c r="A14" s="417">
        <v>800201</v>
      </c>
      <c r="B14" s="416">
        <v>345801</v>
      </c>
      <c r="C14" s="419"/>
      <c r="D14" s="873"/>
      <c r="E14" s="943"/>
      <c r="F14" s="918"/>
      <c r="G14" s="166" t="s">
        <v>53</v>
      </c>
      <c r="H14" s="166"/>
      <c r="I14" s="166">
        <f t="shared" ref="I14:S14" si="1">VLOOKUP($A14&amp;$B14&amp;I$10,Base,9,FALSE)</f>
        <v>23478.400000000001</v>
      </c>
      <c r="J14" s="166">
        <f t="shared" si="1"/>
        <v>23478.400000000001</v>
      </c>
      <c r="K14" s="166">
        <f t="shared" si="1"/>
        <v>23478.400000000001</v>
      </c>
      <c r="L14" s="166">
        <f t="shared" si="1"/>
        <v>23478.400000000001</v>
      </c>
      <c r="M14" s="166">
        <f t="shared" si="1"/>
        <v>23478.400000000001</v>
      </c>
      <c r="N14" s="166">
        <f t="shared" si="1"/>
        <v>23478.400000000001</v>
      </c>
      <c r="O14" s="166">
        <f t="shared" si="1"/>
        <v>23478.400000000001</v>
      </c>
      <c r="P14" s="166">
        <f t="shared" si="1"/>
        <v>23478.400000000001</v>
      </c>
      <c r="Q14" s="166">
        <f t="shared" si="1"/>
        <v>23478.400000000001</v>
      </c>
      <c r="R14" s="166">
        <f t="shared" si="1"/>
        <v>0</v>
      </c>
      <c r="S14" s="166">
        <f t="shared" si="1"/>
        <v>0</v>
      </c>
      <c r="T14" s="683">
        <f t="shared" ref="T14:T32" si="2">SUM(H14:S14)</f>
        <v>211305.59999999998</v>
      </c>
      <c r="U14" s="935"/>
    </row>
    <row r="15" spans="1:21" ht="40.5" customHeight="1" x14ac:dyDescent="0.25">
      <c r="A15" s="346">
        <v>900110</v>
      </c>
      <c r="B15" s="345">
        <v>349102</v>
      </c>
      <c r="C15" s="347" t="s">
        <v>908</v>
      </c>
      <c r="D15" s="873" t="s">
        <v>909</v>
      </c>
      <c r="E15" s="943" t="s">
        <v>190</v>
      </c>
      <c r="F15" s="918">
        <f>SUM(H15:S15)</f>
        <v>904800</v>
      </c>
      <c r="G15" s="166" t="s">
        <v>52</v>
      </c>
      <c r="H15" s="166"/>
      <c r="I15" s="166">
        <f t="shared" ref="I15:S15" si="3">VLOOKUP($A15&amp;$B15&amp;I$10,Base,8,FALSE)</f>
        <v>0</v>
      </c>
      <c r="J15" s="166">
        <f t="shared" si="3"/>
        <v>0</v>
      </c>
      <c r="K15" s="166">
        <f t="shared" si="3"/>
        <v>226199.85</v>
      </c>
      <c r="L15" s="166">
        <f t="shared" si="3"/>
        <v>75399.95</v>
      </c>
      <c r="M15" s="166">
        <f t="shared" si="3"/>
        <v>0</v>
      </c>
      <c r="N15" s="166">
        <f t="shared" si="3"/>
        <v>150799.91</v>
      </c>
      <c r="O15" s="166">
        <f t="shared" si="3"/>
        <v>0</v>
      </c>
      <c r="P15" s="166">
        <f t="shared" si="3"/>
        <v>150799.91</v>
      </c>
      <c r="Q15" s="166">
        <f t="shared" si="3"/>
        <v>75400.38</v>
      </c>
      <c r="R15" s="166">
        <f t="shared" si="3"/>
        <v>75400</v>
      </c>
      <c r="S15" s="166">
        <f t="shared" si="3"/>
        <v>150800</v>
      </c>
      <c r="T15" s="683">
        <f ca="1">SUM($H15:(OFFSET($H15,0,AVANCE060826!$T$2)))</f>
        <v>678600</v>
      </c>
      <c r="U15" s="934"/>
    </row>
    <row r="16" spans="1:21" ht="40.5" customHeight="1" x14ac:dyDescent="0.25">
      <c r="A16" s="346">
        <v>900110</v>
      </c>
      <c r="B16" s="345">
        <v>349102</v>
      </c>
      <c r="C16" s="347"/>
      <c r="D16" s="873"/>
      <c r="E16" s="943"/>
      <c r="F16" s="918"/>
      <c r="G16" s="166" t="s">
        <v>53</v>
      </c>
      <c r="H16" s="166"/>
      <c r="I16" s="166">
        <f t="shared" ref="I16:S16" si="4">VLOOKUP($A16&amp;$B16&amp;I$10,Base,9,FALSE)</f>
        <v>0</v>
      </c>
      <c r="J16" s="166">
        <f t="shared" si="4"/>
        <v>0</v>
      </c>
      <c r="K16" s="166">
        <f t="shared" si="4"/>
        <v>226199.85</v>
      </c>
      <c r="L16" s="166">
        <f t="shared" si="4"/>
        <v>75399.95</v>
      </c>
      <c r="M16" s="166">
        <f t="shared" si="4"/>
        <v>0</v>
      </c>
      <c r="N16" s="166">
        <f t="shared" si="4"/>
        <v>150799.91</v>
      </c>
      <c r="O16" s="166">
        <f t="shared" si="4"/>
        <v>0</v>
      </c>
      <c r="P16" s="166">
        <f t="shared" si="4"/>
        <v>150799.91</v>
      </c>
      <c r="Q16" s="166">
        <f t="shared" si="4"/>
        <v>75399.95</v>
      </c>
      <c r="R16" s="166">
        <f t="shared" si="4"/>
        <v>0</v>
      </c>
      <c r="S16" s="166">
        <f t="shared" si="4"/>
        <v>0</v>
      </c>
      <c r="T16" s="683">
        <f t="shared" si="2"/>
        <v>678599.57</v>
      </c>
      <c r="U16" s="935"/>
    </row>
    <row r="17" spans="1:22" ht="40.5" customHeight="1" x14ac:dyDescent="0.25">
      <c r="A17" s="346">
        <v>380200</v>
      </c>
      <c r="B17" s="345">
        <v>345904</v>
      </c>
      <c r="C17" s="267" t="s">
        <v>910</v>
      </c>
      <c r="D17" s="873" t="s">
        <v>911</v>
      </c>
      <c r="E17" s="943" t="s">
        <v>196</v>
      </c>
      <c r="F17" s="918">
        <f>SUM(H17:S17)</f>
        <v>171048</v>
      </c>
      <c r="G17" s="166" t="s">
        <v>52</v>
      </c>
      <c r="H17" s="166"/>
      <c r="I17" s="166">
        <f t="shared" ref="I17:S17" si="5">VLOOKUP($A17&amp;$B17&amp;I$10,Base,8,FALSE)</f>
        <v>0</v>
      </c>
      <c r="J17" s="166">
        <f t="shared" si="5"/>
        <v>0</v>
      </c>
      <c r="K17" s="166">
        <f t="shared" si="5"/>
        <v>42760.85</v>
      </c>
      <c r="L17" s="166">
        <f t="shared" si="5"/>
        <v>14253.62</v>
      </c>
      <c r="M17" s="166">
        <f t="shared" si="5"/>
        <v>14253.62</v>
      </c>
      <c r="N17" s="166">
        <f t="shared" si="5"/>
        <v>14253.63</v>
      </c>
      <c r="O17" s="166">
        <f t="shared" si="5"/>
        <v>14253.62</v>
      </c>
      <c r="P17" s="166">
        <f t="shared" si="5"/>
        <v>14253.62</v>
      </c>
      <c r="Q17" s="166">
        <f t="shared" si="5"/>
        <v>14257.04</v>
      </c>
      <c r="R17" s="166">
        <f t="shared" si="5"/>
        <v>14254</v>
      </c>
      <c r="S17" s="166">
        <f t="shared" si="5"/>
        <v>28508</v>
      </c>
      <c r="T17" s="683">
        <f ca="1">SUM($H17:(OFFSET($H17,0,AVANCE060826!$T$2)))</f>
        <v>128286</v>
      </c>
      <c r="U17" s="934"/>
      <c r="V17" s="192"/>
    </row>
    <row r="18" spans="1:22" ht="40.5" customHeight="1" x14ac:dyDescent="0.25">
      <c r="A18" s="346">
        <v>380200</v>
      </c>
      <c r="B18" s="345">
        <v>345904</v>
      </c>
      <c r="C18" s="267"/>
      <c r="D18" s="873"/>
      <c r="E18" s="943"/>
      <c r="F18" s="918"/>
      <c r="G18" s="166" t="s">
        <v>53</v>
      </c>
      <c r="H18" s="166"/>
      <c r="I18" s="166">
        <f t="shared" ref="I18:S18" si="6">VLOOKUP($A18&amp;$B18&amp;I$10,Base,9,FALSE)</f>
        <v>0</v>
      </c>
      <c r="J18" s="166">
        <f t="shared" si="6"/>
        <v>0</v>
      </c>
      <c r="K18" s="166">
        <f t="shared" si="6"/>
        <v>42760.85</v>
      </c>
      <c r="L18" s="166">
        <f t="shared" si="6"/>
        <v>14253.62</v>
      </c>
      <c r="M18" s="166">
        <f t="shared" si="6"/>
        <v>14253.62</v>
      </c>
      <c r="N18" s="166">
        <f t="shared" si="6"/>
        <v>14253.63</v>
      </c>
      <c r="O18" s="166">
        <f t="shared" si="6"/>
        <v>14253.62</v>
      </c>
      <c r="P18" s="166">
        <f t="shared" si="6"/>
        <v>14253.62</v>
      </c>
      <c r="Q18" s="166">
        <f t="shared" si="6"/>
        <v>0</v>
      </c>
      <c r="R18" s="166">
        <f t="shared" si="6"/>
        <v>0</v>
      </c>
      <c r="S18" s="166">
        <f t="shared" si="6"/>
        <v>0</v>
      </c>
      <c r="T18" s="683">
        <f t="shared" si="2"/>
        <v>114028.95999999999</v>
      </c>
      <c r="U18" s="935"/>
      <c r="V18" s="192"/>
    </row>
    <row r="19" spans="1:22" ht="40.5" customHeight="1" x14ac:dyDescent="0.25">
      <c r="A19" s="346">
        <v>380200</v>
      </c>
      <c r="B19" s="345">
        <v>345906</v>
      </c>
      <c r="C19" s="267" t="s">
        <v>912</v>
      </c>
      <c r="D19" s="873" t="s">
        <v>913</v>
      </c>
      <c r="E19" s="943" t="s">
        <v>721</v>
      </c>
      <c r="F19" s="918">
        <f>SUM(H19:S19)</f>
        <v>218999.99999999997</v>
      </c>
      <c r="G19" s="166" t="s">
        <v>52</v>
      </c>
      <c r="H19" s="166"/>
      <c r="I19" s="166">
        <f t="shared" ref="I19:S19" si="7">VLOOKUP($A19&amp;$B19&amp;I$10,Base,8,FALSE)</f>
        <v>0</v>
      </c>
      <c r="J19" s="166">
        <f t="shared" si="7"/>
        <v>0</v>
      </c>
      <c r="K19" s="166">
        <f t="shared" si="7"/>
        <v>54746.14</v>
      </c>
      <c r="L19" s="166">
        <f t="shared" si="7"/>
        <v>18248.71</v>
      </c>
      <c r="M19" s="166">
        <f t="shared" si="7"/>
        <v>18248.71</v>
      </c>
      <c r="N19" s="166">
        <f t="shared" si="7"/>
        <v>18248.71</v>
      </c>
      <c r="O19" s="166">
        <f t="shared" si="7"/>
        <v>18248.71</v>
      </c>
      <c r="P19" s="166">
        <f t="shared" si="7"/>
        <v>18248.71</v>
      </c>
      <c r="Q19" s="166">
        <f t="shared" si="7"/>
        <v>18260.310000000001</v>
      </c>
      <c r="R19" s="166">
        <f t="shared" si="7"/>
        <v>18250</v>
      </c>
      <c r="S19" s="166">
        <f t="shared" si="7"/>
        <v>36500</v>
      </c>
      <c r="T19" s="683">
        <f ca="1">SUM($H19:(OFFSET($H19,0,AVANCE060826!$T$2)))</f>
        <v>164249.99999999997</v>
      </c>
      <c r="U19" s="934"/>
      <c r="V19" s="192"/>
    </row>
    <row r="20" spans="1:22" ht="40.5" customHeight="1" x14ac:dyDescent="0.25">
      <c r="A20" s="346">
        <v>380200</v>
      </c>
      <c r="B20" s="345">
        <v>345906</v>
      </c>
      <c r="C20" s="267"/>
      <c r="D20" s="873"/>
      <c r="E20" s="943"/>
      <c r="F20" s="918"/>
      <c r="G20" s="166" t="s">
        <v>53</v>
      </c>
      <c r="H20" s="166"/>
      <c r="I20" s="166">
        <f t="shared" ref="I20:S20" si="8">VLOOKUP($A20&amp;$B20&amp;I$10,Base,9,FALSE)</f>
        <v>0</v>
      </c>
      <c r="J20" s="166">
        <f t="shared" si="8"/>
        <v>0</v>
      </c>
      <c r="K20" s="166">
        <f t="shared" si="8"/>
        <v>54746.14</v>
      </c>
      <c r="L20" s="166">
        <f t="shared" si="8"/>
        <v>18248.71</v>
      </c>
      <c r="M20" s="166">
        <f t="shared" si="8"/>
        <v>18248.71</v>
      </c>
      <c r="N20" s="166">
        <f t="shared" si="8"/>
        <v>18248.71</v>
      </c>
      <c r="O20" s="166">
        <f t="shared" si="8"/>
        <v>18248.71</v>
      </c>
      <c r="P20" s="166">
        <f t="shared" si="8"/>
        <v>18248.71</v>
      </c>
      <c r="Q20" s="166">
        <f t="shared" si="8"/>
        <v>18248.71</v>
      </c>
      <c r="R20" s="166">
        <f t="shared" si="8"/>
        <v>0</v>
      </c>
      <c r="S20" s="166">
        <f t="shared" si="8"/>
        <v>0</v>
      </c>
      <c r="T20" s="683">
        <f t="shared" si="2"/>
        <v>164238.39999999997</v>
      </c>
      <c r="U20" s="935"/>
      <c r="V20" s="192"/>
    </row>
    <row r="21" spans="1:22" ht="40.5" customHeight="1" x14ac:dyDescent="0.25">
      <c r="A21" s="346">
        <v>380200</v>
      </c>
      <c r="B21" s="345">
        <v>345901</v>
      </c>
      <c r="C21" s="347" t="s">
        <v>905</v>
      </c>
      <c r="D21" s="873" t="s">
        <v>914</v>
      </c>
      <c r="E21" s="943" t="s">
        <v>721</v>
      </c>
      <c r="F21" s="918">
        <f>SUM(H21:S21)</f>
        <v>232728</v>
      </c>
      <c r="G21" s="166" t="s">
        <v>52</v>
      </c>
      <c r="H21" s="166"/>
      <c r="I21" s="166">
        <f t="shared" ref="I21:S21" si="9">VLOOKUP($A21&amp;$B21&amp;I$10,Base,8,FALSE)</f>
        <v>19393.55</v>
      </c>
      <c r="J21" s="166">
        <f t="shared" si="9"/>
        <v>19393.55</v>
      </c>
      <c r="K21" s="166">
        <f t="shared" si="9"/>
        <v>19393.55</v>
      </c>
      <c r="L21" s="166">
        <f t="shared" si="9"/>
        <v>19393.55</v>
      </c>
      <c r="M21" s="166">
        <f t="shared" si="9"/>
        <v>19393.55</v>
      </c>
      <c r="N21" s="166">
        <f t="shared" si="9"/>
        <v>19393.55</v>
      </c>
      <c r="O21" s="166">
        <f t="shared" si="9"/>
        <v>19393.55</v>
      </c>
      <c r="P21" s="166">
        <f t="shared" si="9"/>
        <v>19393.55</v>
      </c>
      <c r="Q21" s="166">
        <f t="shared" si="9"/>
        <v>19397.599999999999</v>
      </c>
      <c r="R21" s="166">
        <f t="shared" si="9"/>
        <v>19394</v>
      </c>
      <c r="S21" s="166">
        <f t="shared" si="9"/>
        <v>38788</v>
      </c>
      <c r="T21" s="683">
        <f ca="1">SUM($H21:(OFFSET($H21,0,AVANCE060826!$T$2)))</f>
        <v>174546</v>
      </c>
      <c r="U21" s="934"/>
    </row>
    <row r="22" spans="1:22" ht="40.5" customHeight="1" x14ac:dyDescent="0.25">
      <c r="A22" s="346">
        <v>380200</v>
      </c>
      <c r="B22" s="345">
        <v>345901</v>
      </c>
      <c r="C22" s="347"/>
      <c r="D22" s="873"/>
      <c r="E22" s="943"/>
      <c r="F22" s="918"/>
      <c r="G22" s="166" t="s">
        <v>53</v>
      </c>
      <c r="H22" s="166"/>
      <c r="I22" s="166">
        <f t="shared" ref="I22:S22" si="10">VLOOKUP($A22&amp;$B22&amp;I$10,Base,9,FALSE)</f>
        <v>19393.55</v>
      </c>
      <c r="J22" s="166">
        <f t="shared" si="10"/>
        <v>19393.55</v>
      </c>
      <c r="K22" s="166">
        <f t="shared" si="10"/>
        <v>19393.55</v>
      </c>
      <c r="L22" s="166">
        <f t="shared" si="10"/>
        <v>19393.55</v>
      </c>
      <c r="M22" s="166">
        <f t="shared" si="10"/>
        <v>19393.55</v>
      </c>
      <c r="N22" s="166">
        <f t="shared" si="10"/>
        <v>19393.55</v>
      </c>
      <c r="O22" s="166">
        <f t="shared" si="10"/>
        <v>19393.55</v>
      </c>
      <c r="P22" s="166">
        <f t="shared" si="10"/>
        <v>19393.55</v>
      </c>
      <c r="Q22" s="166">
        <f t="shared" si="10"/>
        <v>19393.55</v>
      </c>
      <c r="R22" s="166">
        <f t="shared" si="10"/>
        <v>0</v>
      </c>
      <c r="S22" s="166">
        <f t="shared" si="10"/>
        <v>0</v>
      </c>
      <c r="T22" s="683">
        <f t="shared" si="2"/>
        <v>174541.94999999998</v>
      </c>
      <c r="U22" s="935"/>
    </row>
    <row r="23" spans="1:22" ht="40.5" customHeight="1" x14ac:dyDescent="0.25">
      <c r="A23" s="743">
        <v>900110</v>
      </c>
      <c r="B23" s="466">
        <v>349101</v>
      </c>
      <c r="C23" s="267" t="s">
        <v>613</v>
      </c>
      <c r="D23" s="873" t="s">
        <v>915</v>
      </c>
      <c r="E23" s="943" t="s">
        <v>916</v>
      </c>
      <c r="F23" s="918">
        <f>SUM(H23:S23)</f>
        <v>487200</v>
      </c>
      <c r="G23" s="166" t="s">
        <v>52</v>
      </c>
      <c r="H23" s="166"/>
      <c r="I23" s="166">
        <f t="shared" ref="I23:S23" si="11">VLOOKUP($A23&amp;$B23&amp;I$10,Base,8,FALSE)</f>
        <v>0</v>
      </c>
      <c r="J23" s="166">
        <f t="shared" si="11"/>
        <v>0</v>
      </c>
      <c r="K23" s="166">
        <f t="shared" si="11"/>
        <v>121799.98</v>
      </c>
      <c r="L23" s="166">
        <f t="shared" si="11"/>
        <v>40599.99</v>
      </c>
      <c r="M23" s="166">
        <f t="shared" si="11"/>
        <v>40600</v>
      </c>
      <c r="N23" s="166">
        <f t="shared" si="11"/>
        <v>40599.99</v>
      </c>
      <c r="O23" s="166">
        <f t="shared" si="11"/>
        <v>40599.99</v>
      </c>
      <c r="P23" s="166">
        <f t="shared" si="11"/>
        <v>40599.99</v>
      </c>
      <c r="Q23" s="166">
        <f t="shared" si="11"/>
        <v>40600.06</v>
      </c>
      <c r="R23" s="166">
        <f t="shared" si="11"/>
        <v>40600</v>
      </c>
      <c r="S23" s="166">
        <f t="shared" si="11"/>
        <v>81200</v>
      </c>
      <c r="T23" s="683">
        <f ca="1">SUM($H23:(OFFSET($H23,0,AVANCE060826!$T$2)))</f>
        <v>365400</v>
      </c>
      <c r="U23" s="934"/>
    </row>
    <row r="24" spans="1:22" ht="40.5" customHeight="1" x14ac:dyDescent="0.25">
      <c r="A24" s="743">
        <v>900110</v>
      </c>
      <c r="B24" s="466">
        <v>349101</v>
      </c>
      <c r="C24" s="684"/>
      <c r="D24" s="873"/>
      <c r="E24" s="943"/>
      <c r="F24" s="918"/>
      <c r="G24" s="166" t="s">
        <v>53</v>
      </c>
      <c r="H24" s="166"/>
      <c r="I24" s="166">
        <f t="shared" ref="I24:S24" si="12">VLOOKUP($A24&amp;$B24&amp;I$10,Base,9,FALSE)</f>
        <v>0</v>
      </c>
      <c r="J24" s="166">
        <f t="shared" si="12"/>
        <v>0</v>
      </c>
      <c r="K24" s="166">
        <f t="shared" si="12"/>
        <v>121799.98</v>
      </c>
      <c r="L24" s="166">
        <f t="shared" si="12"/>
        <v>40599.99</v>
      </c>
      <c r="M24" s="166">
        <f t="shared" si="12"/>
        <v>40600</v>
      </c>
      <c r="N24" s="166">
        <f t="shared" si="12"/>
        <v>40599.99</v>
      </c>
      <c r="O24" s="166">
        <f t="shared" si="12"/>
        <v>40599.99</v>
      </c>
      <c r="P24" s="166">
        <f t="shared" si="12"/>
        <v>40599.99</v>
      </c>
      <c r="Q24" s="166">
        <f t="shared" si="12"/>
        <v>40599.99</v>
      </c>
      <c r="R24" s="166">
        <f t="shared" si="12"/>
        <v>0</v>
      </c>
      <c r="S24" s="166">
        <f t="shared" si="12"/>
        <v>0</v>
      </c>
      <c r="T24" s="683">
        <f t="shared" si="2"/>
        <v>365399.93</v>
      </c>
      <c r="U24" s="935"/>
    </row>
    <row r="25" spans="1:22" ht="40.5" customHeight="1" x14ac:dyDescent="0.25">
      <c r="A25" s="349">
        <v>140100</v>
      </c>
      <c r="B25" s="444">
        <v>349001</v>
      </c>
      <c r="C25" s="684" t="s">
        <v>613</v>
      </c>
      <c r="D25" s="968" t="s">
        <v>917</v>
      </c>
      <c r="E25" s="970" t="s">
        <v>761</v>
      </c>
      <c r="F25" s="918">
        <f>SUM(H25:S25)</f>
        <v>794772</v>
      </c>
      <c r="G25" s="166" t="s">
        <v>52</v>
      </c>
      <c r="H25" s="166"/>
      <c r="I25" s="166">
        <f t="shared" ref="I25:S25" si="13">VLOOKUP($A25&amp;$B25&amp;I$10,Base,8,FALSE)</f>
        <v>0</v>
      </c>
      <c r="J25" s="166">
        <f t="shared" si="13"/>
        <v>114189.96</v>
      </c>
      <c r="K25" s="166">
        <f t="shared" si="13"/>
        <v>57094.98</v>
      </c>
      <c r="L25" s="166">
        <f t="shared" si="13"/>
        <v>57094.98</v>
      </c>
      <c r="M25" s="166">
        <f t="shared" si="13"/>
        <v>57094.98</v>
      </c>
      <c r="N25" s="166">
        <f t="shared" si="13"/>
        <v>57094.98</v>
      </c>
      <c r="O25" s="166">
        <f t="shared" si="13"/>
        <v>57094.98</v>
      </c>
      <c r="P25" s="166">
        <f t="shared" si="13"/>
        <v>57094.98</v>
      </c>
      <c r="Q25" s="166">
        <f t="shared" si="13"/>
        <v>139319.16</v>
      </c>
      <c r="R25" s="166">
        <f t="shared" si="13"/>
        <v>66231</v>
      </c>
      <c r="S25" s="166">
        <f t="shared" si="13"/>
        <v>132462</v>
      </c>
      <c r="T25" s="683">
        <f ca="1">SUM($H25:(OFFSET($H25,0,AVANCE060826!$T$2)))</f>
        <v>596079</v>
      </c>
      <c r="U25" s="934"/>
    </row>
    <row r="26" spans="1:22" ht="40.5" customHeight="1" x14ac:dyDescent="0.25">
      <c r="A26" s="349">
        <v>140100</v>
      </c>
      <c r="B26" s="444">
        <v>349001</v>
      </c>
      <c r="C26" s="685"/>
      <c r="D26" s="969"/>
      <c r="E26" s="971"/>
      <c r="F26" s="918"/>
      <c r="G26" s="166"/>
      <c r="H26" s="166"/>
      <c r="I26" s="166">
        <f t="shared" ref="I26:S26" si="14">VLOOKUP($A26&amp;$B26&amp;I$10,Base,9,FALSE)</f>
        <v>0</v>
      </c>
      <c r="J26" s="166">
        <f t="shared" si="14"/>
        <v>114189.96</v>
      </c>
      <c r="K26" s="166">
        <f t="shared" si="14"/>
        <v>57094.98</v>
      </c>
      <c r="L26" s="166">
        <f t="shared" si="14"/>
        <v>57094.98</v>
      </c>
      <c r="M26" s="166">
        <f t="shared" si="14"/>
        <v>57094.98</v>
      </c>
      <c r="N26" s="166">
        <f t="shared" si="14"/>
        <v>57094.98</v>
      </c>
      <c r="O26" s="166">
        <f t="shared" si="14"/>
        <v>57094.98</v>
      </c>
      <c r="P26" s="166">
        <f t="shared" si="14"/>
        <v>57094.98</v>
      </c>
      <c r="Q26" s="166">
        <f t="shared" si="14"/>
        <v>0</v>
      </c>
      <c r="R26" s="166">
        <f t="shared" si="14"/>
        <v>0</v>
      </c>
      <c r="S26" s="166">
        <f t="shared" si="14"/>
        <v>0</v>
      </c>
      <c r="T26" s="683">
        <f t="shared" si="2"/>
        <v>456759.83999999997</v>
      </c>
      <c r="U26" s="1037"/>
    </row>
    <row r="27" spans="1:22" ht="40.5" customHeight="1" x14ac:dyDescent="0.25">
      <c r="A27" s="757">
        <v>50100</v>
      </c>
      <c r="B27" s="502">
        <v>349001</v>
      </c>
      <c r="C27" s="165"/>
      <c r="D27" s="873" t="s">
        <v>918</v>
      </c>
      <c r="E27" s="943" t="s">
        <v>180</v>
      </c>
      <c r="F27" s="918">
        <f>SUM(H27:S27)</f>
        <v>162000</v>
      </c>
      <c r="G27" s="166" t="s">
        <v>52</v>
      </c>
      <c r="H27" s="166"/>
      <c r="I27" s="166">
        <f t="shared" ref="I27:S27" si="15">VLOOKUP($A27&amp;$B27&amp;I$10,Base,8,FALSE)</f>
        <v>0</v>
      </c>
      <c r="J27" s="166">
        <f t="shared" si="15"/>
        <v>26999.99</v>
      </c>
      <c r="K27" s="166">
        <f t="shared" si="15"/>
        <v>13500</v>
      </c>
      <c r="L27" s="166">
        <f t="shared" si="15"/>
        <v>13500</v>
      </c>
      <c r="M27" s="166">
        <f t="shared" si="15"/>
        <v>13500</v>
      </c>
      <c r="N27" s="166">
        <f t="shared" si="15"/>
        <v>13500</v>
      </c>
      <c r="O27" s="166">
        <f t="shared" si="15"/>
        <v>13500</v>
      </c>
      <c r="P27" s="166">
        <f t="shared" si="15"/>
        <v>13500</v>
      </c>
      <c r="Q27" s="166">
        <f t="shared" si="15"/>
        <v>13500.01</v>
      </c>
      <c r="R27" s="166">
        <f t="shared" si="15"/>
        <v>13500</v>
      </c>
      <c r="S27" s="166">
        <f t="shared" si="15"/>
        <v>27000</v>
      </c>
      <c r="T27" s="683">
        <f ca="1">SUM($H27:(OFFSET($H27,0,AVANCE060826!$T$2)))</f>
        <v>121500</v>
      </c>
      <c r="U27" s="1037"/>
    </row>
    <row r="28" spans="1:22" ht="40.5" customHeight="1" x14ac:dyDescent="0.25">
      <c r="A28" s="757">
        <v>50100</v>
      </c>
      <c r="B28" s="502">
        <v>349001</v>
      </c>
      <c r="C28" s="165"/>
      <c r="D28" s="873"/>
      <c r="E28" s="943"/>
      <c r="F28" s="918"/>
      <c r="G28" s="166" t="s">
        <v>53</v>
      </c>
      <c r="H28" s="166"/>
      <c r="I28" s="166">
        <f t="shared" ref="I28:S28" si="16">VLOOKUP($A28&amp;$B28&amp;I$10,Base,9,FALSE)</f>
        <v>0</v>
      </c>
      <c r="J28" s="166">
        <f t="shared" si="16"/>
        <v>26999.99</v>
      </c>
      <c r="K28" s="166">
        <f t="shared" si="16"/>
        <v>13500</v>
      </c>
      <c r="L28" s="166">
        <f t="shared" si="16"/>
        <v>13500</v>
      </c>
      <c r="M28" s="166">
        <f t="shared" si="16"/>
        <v>13500</v>
      </c>
      <c r="N28" s="166">
        <f t="shared" si="16"/>
        <v>13500</v>
      </c>
      <c r="O28" s="166">
        <f t="shared" si="16"/>
        <v>13500</v>
      </c>
      <c r="P28" s="166">
        <f t="shared" si="16"/>
        <v>13500</v>
      </c>
      <c r="Q28" s="166">
        <f t="shared" si="16"/>
        <v>13500</v>
      </c>
      <c r="R28" s="166">
        <f t="shared" si="16"/>
        <v>0</v>
      </c>
      <c r="S28" s="166">
        <f t="shared" si="16"/>
        <v>0</v>
      </c>
      <c r="T28" s="683">
        <f t="shared" si="2"/>
        <v>121499.99</v>
      </c>
      <c r="U28" s="1037"/>
    </row>
    <row r="29" spans="1:22" ht="40.5" customHeight="1" x14ac:dyDescent="0.25">
      <c r="A29" s="349">
        <v>73100</v>
      </c>
      <c r="B29" s="502" t="s">
        <v>88</v>
      </c>
      <c r="C29" s="165"/>
      <c r="D29" s="968" t="s">
        <v>919</v>
      </c>
      <c r="E29" s="970" t="s">
        <v>255</v>
      </c>
      <c r="F29" s="918">
        <f>SUM(H29:S29)</f>
        <v>84189</v>
      </c>
      <c r="G29" s="166" t="s">
        <v>52</v>
      </c>
      <c r="H29" s="166"/>
      <c r="I29" s="166">
        <f t="shared" ref="I29:S29" si="17">VLOOKUP($A29&amp;$B29&amp;I$10,Base,8,FALSE)</f>
        <v>0</v>
      </c>
      <c r="J29" s="166">
        <f t="shared" si="17"/>
        <v>0</v>
      </c>
      <c r="K29" s="166">
        <f t="shared" si="17"/>
        <v>21046.31</v>
      </c>
      <c r="L29" s="166">
        <f t="shared" si="17"/>
        <v>7015.44</v>
      </c>
      <c r="M29" s="166">
        <f t="shared" si="17"/>
        <v>7015.44</v>
      </c>
      <c r="N29" s="166">
        <f t="shared" si="17"/>
        <v>0</v>
      </c>
      <c r="O29" s="166">
        <f t="shared" si="17"/>
        <v>0</v>
      </c>
      <c r="P29" s="166">
        <f t="shared" si="17"/>
        <v>0</v>
      </c>
      <c r="Q29" s="166">
        <f t="shared" si="17"/>
        <v>28066.81</v>
      </c>
      <c r="R29" s="166">
        <f t="shared" si="17"/>
        <v>7016</v>
      </c>
      <c r="S29" s="166">
        <f t="shared" si="17"/>
        <v>14029</v>
      </c>
      <c r="T29" s="683">
        <f ca="1">SUM($H29:(OFFSET($H29,0,AVANCE060826!$T$2)))</f>
        <v>63144</v>
      </c>
      <c r="U29" s="1037"/>
    </row>
    <row r="30" spans="1:22" ht="40.5" customHeight="1" x14ac:dyDescent="0.25">
      <c r="A30" s="349">
        <v>73100</v>
      </c>
      <c r="B30" s="502" t="s">
        <v>88</v>
      </c>
      <c r="C30" s="165"/>
      <c r="D30" s="969"/>
      <c r="E30" s="971"/>
      <c r="F30" s="918"/>
      <c r="G30" s="166" t="s">
        <v>53</v>
      </c>
      <c r="H30" s="166"/>
      <c r="I30" s="166">
        <f t="shared" ref="I30:S30" si="18">VLOOKUP($A30&amp;$B30&amp;I$10,Base,9,FALSE)</f>
        <v>0</v>
      </c>
      <c r="J30" s="166">
        <f t="shared" si="18"/>
        <v>0</v>
      </c>
      <c r="K30" s="166">
        <f t="shared" si="18"/>
        <v>21046.31</v>
      </c>
      <c r="L30" s="166">
        <f t="shared" si="18"/>
        <v>7015.44</v>
      </c>
      <c r="M30" s="166">
        <f t="shared" si="18"/>
        <v>7015.44</v>
      </c>
      <c r="N30" s="166">
        <f t="shared" si="18"/>
        <v>0</v>
      </c>
      <c r="O30" s="166">
        <f t="shared" si="18"/>
        <v>0</v>
      </c>
      <c r="P30" s="166">
        <f t="shared" si="18"/>
        <v>0</v>
      </c>
      <c r="Q30" s="166">
        <f t="shared" si="18"/>
        <v>0</v>
      </c>
      <c r="R30" s="166">
        <f t="shared" si="18"/>
        <v>0</v>
      </c>
      <c r="S30" s="166">
        <f t="shared" si="18"/>
        <v>0</v>
      </c>
      <c r="T30" s="683">
        <f t="shared" si="2"/>
        <v>35077.19</v>
      </c>
      <c r="U30" s="1037"/>
    </row>
    <row r="31" spans="1:22" ht="40.5" customHeight="1" x14ac:dyDescent="0.25">
      <c r="A31" s="686">
        <v>73110</v>
      </c>
      <c r="B31" s="502">
        <v>349301</v>
      </c>
      <c r="C31" s="165"/>
      <c r="D31" s="873" t="s">
        <v>920</v>
      </c>
      <c r="E31" s="943" t="s">
        <v>921</v>
      </c>
      <c r="F31" s="918">
        <f>SUM(H31:S31)</f>
        <v>111360</v>
      </c>
      <c r="G31" s="166" t="s">
        <v>52</v>
      </c>
      <c r="H31" s="773"/>
      <c r="I31" s="166">
        <f t="shared" ref="I31:S31" si="19">VLOOKUP($A31&amp;$B31&amp;I$10,Base,8,FALSE)</f>
        <v>0</v>
      </c>
      <c r="J31" s="773">
        <f t="shared" si="19"/>
        <v>0</v>
      </c>
      <c r="K31" s="773">
        <f t="shared" si="19"/>
        <v>27839.64</v>
      </c>
      <c r="L31" s="773">
        <f t="shared" si="19"/>
        <v>9279.8799999999992</v>
      </c>
      <c r="M31" s="773">
        <f t="shared" si="19"/>
        <v>9279.8799999999992</v>
      </c>
      <c r="N31" s="773">
        <f t="shared" si="19"/>
        <v>0</v>
      </c>
      <c r="O31" s="166">
        <f t="shared" si="19"/>
        <v>0</v>
      </c>
      <c r="P31" s="166">
        <f t="shared" si="19"/>
        <v>0</v>
      </c>
      <c r="Q31" s="166">
        <f t="shared" si="19"/>
        <v>37120.6</v>
      </c>
      <c r="R31" s="166">
        <f t="shared" si="19"/>
        <v>9280</v>
      </c>
      <c r="S31" s="166">
        <f t="shared" si="19"/>
        <v>18560</v>
      </c>
      <c r="T31" s="683">
        <f ca="1">SUM($H31:(OFFSET($H31,0,AVANCE060826!$T$2)))</f>
        <v>83520</v>
      </c>
      <c r="U31" s="934"/>
    </row>
    <row r="32" spans="1:22" ht="40.5" customHeight="1" x14ac:dyDescent="0.25">
      <c r="A32" s="686">
        <v>73110</v>
      </c>
      <c r="B32" s="502">
        <v>349301</v>
      </c>
      <c r="C32" s="165"/>
      <c r="D32" s="873"/>
      <c r="E32" s="943"/>
      <c r="F32" s="918"/>
      <c r="G32" s="166" t="s">
        <v>53</v>
      </c>
      <c r="H32" s="773"/>
      <c r="I32" s="773">
        <f t="shared" ref="I32:S32" si="20">VLOOKUP($A32&amp;$B32&amp;I$10,Base,9,FALSE)</f>
        <v>0</v>
      </c>
      <c r="J32" s="773">
        <f t="shared" si="20"/>
        <v>0</v>
      </c>
      <c r="K32" s="773">
        <f t="shared" si="20"/>
        <v>27839.64</v>
      </c>
      <c r="L32" s="773">
        <f t="shared" si="20"/>
        <v>9279.8799999999992</v>
      </c>
      <c r="M32" s="773">
        <f t="shared" si="20"/>
        <v>9279.8799999999992</v>
      </c>
      <c r="N32" s="166">
        <f t="shared" si="20"/>
        <v>0</v>
      </c>
      <c r="O32" s="166">
        <f t="shared" si="20"/>
        <v>0</v>
      </c>
      <c r="P32" s="166">
        <f t="shared" si="20"/>
        <v>0</v>
      </c>
      <c r="Q32" s="166">
        <f t="shared" si="20"/>
        <v>0</v>
      </c>
      <c r="R32" s="166">
        <f t="shared" si="20"/>
        <v>0</v>
      </c>
      <c r="S32" s="166">
        <f t="shared" si="20"/>
        <v>0</v>
      </c>
      <c r="T32" s="683">
        <f t="shared" si="2"/>
        <v>46399.399999999994</v>
      </c>
      <c r="U32" s="935"/>
    </row>
    <row r="33" spans="1:21" ht="31.5" customHeight="1" x14ac:dyDescent="0.25">
      <c r="A33" s="443">
        <v>10</v>
      </c>
      <c r="D33" s="1030"/>
      <c r="E33" s="1032"/>
      <c r="F33" s="1034">
        <f>SUM(F13:F32)</f>
        <v>3448845</v>
      </c>
      <c r="G33" s="166" t="s">
        <v>52</v>
      </c>
      <c r="H33" s="186"/>
      <c r="I33" s="186">
        <f t="shared" ref="I33:T33" si="21">+I13+I15+I17+I19+I21+I23+I25+I27+I29+I31</f>
        <v>42871.95</v>
      </c>
      <c r="J33" s="186">
        <f t="shared" si="21"/>
        <v>184061.9</v>
      </c>
      <c r="K33" s="186">
        <f t="shared" si="21"/>
        <v>607859.70000000007</v>
      </c>
      <c r="L33" s="186">
        <f t="shared" si="21"/>
        <v>278264.51999999996</v>
      </c>
      <c r="M33" s="186">
        <f t="shared" si="21"/>
        <v>202864.58000000002</v>
      </c>
      <c r="N33" s="186">
        <f t="shared" si="21"/>
        <v>337369.17</v>
      </c>
      <c r="O33" s="186">
        <f t="shared" si="21"/>
        <v>186569.25</v>
      </c>
      <c r="P33" s="186">
        <f t="shared" si="21"/>
        <v>337369.16</v>
      </c>
      <c r="Q33" s="186">
        <f t="shared" si="21"/>
        <v>409405.76999999996</v>
      </c>
      <c r="R33" s="186">
        <f t="shared" si="21"/>
        <v>287404</v>
      </c>
      <c r="S33" s="186">
        <f t="shared" si="21"/>
        <v>574805</v>
      </c>
      <c r="T33" s="186">
        <f t="shared" ca="1" si="21"/>
        <v>2586636</v>
      </c>
      <c r="U33" s="1036"/>
    </row>
    <row r="34" spans="1:21" ht="31.5" customHeight="1" x14ac:dyDescent="0.25">
      <c r="D34" s="1031"/>
      <c r="E34" s="1033"/>
      <c r="F34" s="1035"/>
      <c r="G34" s="166" t="s">
        <v>53</v>
      </c>
      <c r="H34" s="186">
        <f t="shared" ref="H34:T34" si="22">+H14+H16+H18+H20+H22+H24+H26+H28+H30+H32</f>
        <v>0</v>
      </c>
      <c r="I34" s="186">
        <f t="shared" si="22"/>
        <v>42871.95</v>
      </c>
      <c r="J34" s="186">
        <f t="shared" si="22"/>
        <v>184061.9</v>
      </c>
      <c r="K34" s="186">
        <f t="shared" si="22"/>
        <v>607859.70000000007</v>
      </c>
      <c r="L34" s="186">
        <f t="shared" si="22"/>
        <v>278264.51999999996</v>
      </c>
      <c r="M34" s="186">
        <f t="shared" si="22"/>
        <v>202864.58000000002</v>
      </c>
      <c r="N34" s="186">
        <f t="shared" si="22"/>
        <v>337369.17</v>
      </c>
      <c r="O34" s="186">
        <f t="shared" si="22"/>
        <v>186569.25</v>
      </c>
      <c r="P34" s="186">
        <f t="shared" si="22"/>
        <v>337369.16</v>
      </c>
      <c r="Q34" s="186">
        <f t="shared" si="22"/>
        <v>190620.59999999998</v>
      </c>
      <c r="R34" s="186">
        <f t="shared" si="22"/>
        <v>0</v>
      </c>
      <c r="S34" s="186">
        <f t="shared" si="22"/>
        <v>0</v>
      </c>
      <c r="T34" s="186">
        <f t="shared" si="22"/>
        <v>2367850.8299999996</v>
      </c>
      <c r="U34" s="1036"/>
    </row>
    <row r="35" spans="1:21" ht="31.5" customHeight="1" x14ac:dyDescent="0.25"/>
    <row r="38" spans="1:21" x14ac:dyDescent="0.25">
      <c r="T38" s="9">
        <f ca="1">T13+T15+T17+T19+T21+T23+T25+T27+T29+T31</f>
        <v>2586636</v>
      </c>
    </row>
  </sheetData>
  <autoFilter ref="B11:U34">
    <filterColumn colId="0" showButton="0"/>
  </autoFilter>
  <mergeCells count="62">
    <mergeCell ref="C11:C12"/>
    <mergeCell ref="D11:D12"/>
    <mergeCell ref="E11:E12"/>
    <mergeCell ref="F11:F12"/>
    <mergeCell ref="M11:M12"/>
    <mergeCell ref="P11:P12"/>
    <mergeCell ref="D7:U7"/>
    <mergeCell ref="G11:G12"/>
    <mergeCell ref="H11:H12"/>
    <mergeCell ref="I11:I12"/>
    <mergeCell ref="J11:J12"/>
    <mergeCell ref="U11:U12"/>
    <mergeCell ref="K11:K12"/>
    <mergeCell ref="L11:L12"/>
    <mergeCell ref="D13:D14"/>
    <mergeCell ref="E13:E14"/>
    <mergeCell ref="F13:F14"/>
    <mergeCell ref="N11:N12"/>
    <mergeCell ref="O11:O12"/>
    <mergeCell ref="U13:U14"/>
    <mergeCell ref="Q11:Q12"/>
    <mergeCell ref="R11:R12"/>
    <mergeCell ref="S11:S12"/>
    <mergeCell ref="T11:T12"/>
    <mergeCell ref="U15:U16"/>
    <mergeCell ref="D17:D18"/>
    <mergeCell ref="E17:E18"/>
    <mergeCell ref="F17:F18"/>
    <mergeCell ref="U17:U18"/>
    <mergeCell ref="D15:D16"/>
    <mergeCell ref="E15:E16"/>
    <mergeCell ref="F15:F16"/>
    <mergeCell ref="U19:U20"/>
    <mergeCell ref="D21:D22"/>
    <mergeCell ref="E21:E22"/>
    <mergeCell ref="F21:F22"/>
    <mergeCell ref="U21:U22"/>
    <mergeCell ref="D19:D20"/>
    <mergeCell ref="E19:E20"/>
    <mergeCell ref="F19:F20"/>
    <mergeCell ref="F27:F28"/>
    <mergeCell ref="D29:D30"/>
    <mergeCell ref="E29:E30"/>
    <mergeCell ref="F29:F30"/>
    <mergeCell ref="U23:U24"/>
    <mergeCell ref="D25:D26"/>
    <mergeCell ref="E25:E26"/>
    <mergeCell ref="F25:F26"/>
    <mergeCell ref="U25:U30"/>
    <mergeCell ref="D27:D28"/>
    <mergeCell ref="E27:E28"/>
    <mergeCell ref="D23:D24"/>
    <mergeCell ref="E23:E24"/>
    <mergeCell ref="F23:F24"/>
    <mergeCell ref="U31:U32"/>
    <mergeCell ref="D33:D34"/>
    <mergeCell ref="E33:E34"/>
    <mergeCell ref="F33:F34"/>
    <mergeCell ref="U33:U34"/>
    <mergeCell ref="D31:D32"/>
    <mergeCell ref="E31:E32"/>
    <mergeCell ref="F31:F32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55" fitToHeight="21" orientation="landscape" r:id="rId1"/>
  <rowBreaks count="1" manualBreakCount="1">
    <brk id="34" min="2" max="24" man="1"/>
  </rowBreaks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opLeftCell="A3" zoomScaleNormal="100" zoomScaleSheetLayoutView="85" zoomScalePageLayoutView="80" workbookViewId="0">
      <pane xSplit="4" ySplit="9" topLeftCell="G12" activePane="bottomRight" state="frozen"/>
      <selection activeCell="A3" sqref="A3"/>
      <selection pane="topRight" activeCell="E3" sqref="E3"/>
      <selection pane="bottomLeft" activeCell="A12" sqref="A12"/>
      <selection pane="bottomRight" activeCell="O12" sqref="O12"/>
    </sheetView>
  </sheetViews>
  <sheetFormatPr baseColWidth="10" defaultRowHeight="15" x14ac:dyDescent="0.25"/>
  <cols>
    <col min="1" max="1" width="8.42578125" customWidth="1"/>
    <col min="2" max="2" width="9.42578125" customWidth="1"/>
    <col min="3" max="3" width="0.28515625" customWidth="1"/>
    <col min="4" max="4" width="21.5703125" customWidth="1"/>
    <col min="5" max="5" width="27.28515625" style="1" customWidth="1"/>
    <col min="6" max="7" width="15" customWidth="1"/>
    <col min="8" max="8" width="19.140625" customWidth="1"/>
    <col min="9" max="9" width="16.7109375" style="192" customWidth="1"/>
    <col min="10" max="10" width="13" customWidth="1"/>
    <col min="11" max="11" width="11.7109375" hidden="1" customWidth="1"/>
    <col min="12" max="12" width="10.28515625" hidden="1" customWidth="1"/>
    <col min="13" max="13" width="47.140625" customWidth="1"/>
    <col min="14" max="14" width="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15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154</v>
      </c>
      <c r="H8" s="9"/>
    </row>
    <row r="9" spans="1:13" ht="3" customHeight="1" thickBot="1" x14ac:dyDescent="0.3">
      <c r="H9" s="9"/>
    </row>
    <row r="10" spans="1:13" ht="18" customHeight="1" x14ac:dyDescent="0.25">
      <c r="A10" s="842" t="s">
        <v>18</v>
      </c>
      <c r="B10" s="843"/>
      <c r="C10" s="844" t="s">
        <v>17</v>
      </c>
      <c r="D10" s="846" t="s">
        <v>16</v>
      </c>
      <c r="E10" s="847" t="s">
        <v>15</v>
      </c>
      <c r="F10" s="836" t="s">
        <v>26</v>
      </c>
      <c r="G10" s="837" t="s">
        <v>215</v>
      </c>
      <c r="H10" s="828" t="s">
        <v>90</v>
      </c>
      <c r="I10" s="850"/>
      <c r="J10" s="835" t="s">
        <v>27</v>
      </c>
      <c r="K10" s="836"/>
      <c r="L10" s="837" t="s">
        <v>28</v>
      </c>
      <c r="M10" s="834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91"/>
      <c r="E11" s="892"/>
      <c r="F11" s="893"/>
      <c r="G11" s="946"/>
      <c r="H11" s="414" t="s">
        <v>91</v>
      </c>
      <c r="I11" s="415" t="s">
        <v>92</v>
      </c>
      <c r="J11" s="367" t="s">
        <v>962</v>
      </c>
      <c r="K11" s="368" t="s">
        <v>29</v>
      </c>
      <c r="L11" s="946"/>
      <c r="M11" s="947"/>
    </row>
    <row r="12" spans="1:13" ht="77.25" customHeight="1" thickTop="1" thickBot="1" x14ac:dyDescent="0.3">
      <c r="A12" s="689">
        <v>362410</v>
      </c>
      <c r="B12" s="417">
        <v>200200</v>
      </c>
      <c r="C12" s="419" t="s">
        <v>922</v>
      </c>
      <c r="D12" s="690" t="s">
        <v>923</v>
      </c>
      <c r="E12" s="691" t="s">
        <v>578</v>
      </c>
      <c r="F12" s="692">
        <f>'DF NTE_Calendario'!F15:F15</f>
        <v>2254260</v>
      </c>
      <c r="G12" s="549">
        <v>187854.18</v>
      </c>
      <c r="H12" s="693">
        <f ca="1">'DF NTE_Calendario'!T15</f>
        <v>1690694.9999999998</v>
      </c>
      <c r="I12" s="693">
        <f>'DF NTE_Calendario'!T16</f>
        <v>1690687.6199999996</v>
      </c>
      <c r="J12" s="694">
        <f ca="1">H12-I12</f>
        <v>7.3800000001210719</v>
      </c>
      <c r="K12" s="695">
        <f ca="1">+J12/H12*100</f>
        <v>4.3650688031378061E-4</v>
      </c>
      <c r="L12" s="696">
        <f ca="1">+I12/H12*100</f>
        <v>99.99956349311968</v>
      </c>
      <c r="M12" s="697" t="s">
        <v>973</v>
      </c>
    </row>
    <row r="13" spans="1:13" ht="15.75" thickBot="1" x14ac:dyDescent="0.3">
      <c r="A13" s="4"/>
      <c r="B13" s="4">
        <v>1</v>
      </c>
      <c r="C13" s="24">
        <f>COUNT(#REF!)</f>
        <v>0</v>
      </c>
      <c r="D13" s="7"/>
      <c r="E13" s="6"/>
      <c r="F13" s="32">
        <f>SUM(F12:F12)</f>
        <v>2254260</v>
      </c>
      <c r="G13" s="32">
        <f>SUM(G12:G12)</f>
        <v>187854.18</v>
      </c>
      <c r="H13" s="215">
        <f ca="1">SUM(H12:H12)</f>
        <v>1690694.9999999998</v>
      </c>
      <c r="I13" s="32">
        <f>SUM(I12:I12)</f>
        <v>1690687.6199999996</v>
      </c>
      <c r="J13" s="32">
        <f ca="1">SUM(J12:J12)</f>
        <v>7.3800000001210719</v>
      </c>
      <c r="K13" s="150">
        <f ca="1">+J13/H13*100</f>
        <v>4.3650688031378061E-4</v>
      </c>
      <c r="L13" s="151">
        <f ca="1">+I13/H13*100</f>
        <v>99.99956349311968</v>
      </c>
      <c r="M13" s="5"/>
    </row>
    <row r="14" spans="1:13" ht="31.5" customHeight="1" x14ac:dyDescent="0.25">
      <c r="F14" s="3"/>
      <c r="G14" s="3"/>
      <c r="H14" s="2"/>
      <c r="I14" s="2"/>
      <c r="J14" s="2"/>
      <c r="K14" s="2"/>
      <c r="L14" s="2"/>
      <c r="M14" s="857"/>
    </row>
    <row r="15" spans="1:13" ht="31.5" customHeight="1" x14ac:dyDescent="0.25">
      <c r="H15" s="2"/>
      <c r="I15" s="2"/>
      <c r="J15" s="2"/>
      <c r="K15" s="2"/>
      <c r="L15" s="2"/>
      <c r="M15" s="857"/>
    </row>
    <row r="16" spans="1:13" ht="31.5" customHeight="1" x14ac:dyDescent="0.25">
      <c r="I16" s="2"/>
    </row>
    <row r="17" spans="9:9" x14ac:dyDescent="0.25">
      <c r="I17" s="2"/>
    </row>
    <row r="18" spans="9:9" x14ac:dyDescent="0.25">
      <c r="I18" s="2"/>
    </row>
    <row r="19" spans="9:9" x14ac:dyDescent="0.25">
      <c r="I19" s="2"/>
    </row>
    <row r="20" spans="9:9" x14ac:dyDescent="0.25">
      <c r="I20" s="2"/>
    </row>
    <row r="21" spans="9:9" x14ac:dyDescent="0.25">
      <c r="I21" s="2"/>
    </row>
    <row r="22" spans="9:9" x14ac:dyDescent="0.25">
      <c r="I22" s="2"/>
    </row>
    <row r="23" spans="9:9" x14ac:dyDescent="0.25">
      <c r="I23" s="2"/>
    </row>
    <row r="24" spans="9:9" x14ac:dyDescent="0.25">
      <c r="I24" s="2"/>
    </row>
    <row r="25" spans="9:9" x14ac:dyDescent="0.25">
      <c r="I25" s="2"/>
    </row>
    <row r="26" spans="9:9" x14ac:dyDescent="0.25">
      <c r="I26" s="2"/>
    </row>
    <row r="27" spans="9:9" x14ac:dyDescent="0.25">
      <c r="I27" s="2"/>
    </row>
    <row r="28" spans="9:9" x14ac:dyDescent="0.25">
      <c r="I28" s="2"/>
    </row>
    <row r="29" spans="9:9" x14ac:dyDescent="0.25">
      <c r="I29" s="2"/>
    </row>
    <row r="30" spans="9:9" x14ac:dyDescent="0.25">
      <c r="I30" s="2"/>
    </row>
    <row r="31" spans="9:9" x14ac:dyDescent="0.25">
      <c r="I31" s="2"/>
    </row>
    <row r="32" spans="9:9" x14ac:dyDescent="0.25">
      <c r="I32" s="2"/>
    </row>
    <row r="33" spans="9:9" x14ac:dyDescent="0.25">
      <c r="I33" s="2"/>
    </row>
  </sheetData>
  <mergeCells count="12">
    <mergeCell ref="M10:M11"/>
    <mergeCell ref="M14:M15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3" fitToHeight="21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showGridLines="0" topLeftCell="A3" zoomScaleNormal="100" zoomScaleSheetLayoutView="85" zoomScalePageLayoutView="80" workbookViewId="0">
      <pane xSplit="4" ySplit="12" topLeftCell="P15" activePane="bottomRight" state="frozen"/>
      <selection activeCell="A3" sqref="A3"/>
      <selection pane="topRight" activeCell="E3" sqref="E3"/>
      <selection pane="bottomLeft" activeCell="A12" sqref="A12"/>
      <selection pane="bottomRight" activeCell="R15" sqref="R15"/>
    </sheetView>
  </sheetViews>
  <sheetFormatPr baseColWidth="10" defaultRowHeight="15" x14ac:dyDescent="0.25"/>
  <cols>
    <col min="1" max="1" width="9.42578125" customWidth="1"/>
    <col min="2" max="2" width="8.42578125" customWidth="1"/>
    <col min="3" max="3" width="0.28515625" customWidth="1"/>
    <col min="4" max="4" width="21.5703125" customWidth="1"/>
    <col min="5" max="5" width="27.28515625" style="1" customWidth="1"/>
    <col min="6" max="19" width="1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D1" s="10" t="s">
        <v>25</v>
      </c>
      <c r="U1" s="11"/>
    </row>
    <row r="2" spans="1:21" ht="18" x14ac:dyDescent="0.25">
      <c r="D2" s="10" t="s">
        <v>24</v>
      </c>
    </row>
    <row r="3" spans="1:21" ht="18" x14ac:dyDescent="0.25">
      <c r="D3" s="10"/>
      <c r="F3" s="10" t="s">
        <v>25</v>
      </c>
    </row>
    <row r="4" spans="1:21" ht="18" x14ac:dyDescent="0.25">
      <c r="D4" s="10"/>
      <c r="F4" s="10" t="s">
        <v>24</v>
      </c>
    </row>
    <row r="5" spans="1:21" ht="18" x14ac:dyDescent="0.25">
      <c r="F5" s="10" t="s">
        <v>23</v>
      </c>
    </row>
    <row r="6" spans="1:21" ht="18" x14ac:dyDescent="0.25">
      <c r="F6" s="10" t="s">
        <v>22</v>
      </c>
    </row>
    <row r="7" spans="1:21" ht="18" x14ac:dyDescent="0.25">
      <c r="F7" s="10" t="s">
        <v>21</v>
      </c>
    </row>
    <row r="8" spans="1:21" ht="20.25" x14ac:dyDescent="0.3">
      <c r="E8" s="15"/>
      <c r="F8" s="14" t="s">
        <v>20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7"/>
      <c r="U8" s="17"/>
    </row>
    <row r="9" spans="1:21" ht="21" x14ac:dyDescent="0.35">
      <c r="D9" s="826" t="s">
        <v>61</v>
      </c>
      <c r="E9" s="826"/>
      <c r="F9" s="826"/>
      <c r="G9" s="826"/>
      <c r="H9" s="826"/>
      <c r="I9" s="826"/>
      <c r="J9" s="826"/>
      <c r="K9" s="826"/>
      <c r="L9" s="826"/>
      <c r="M9" s="826"/>
      <c r="N9" s="826"/>
      <c r="O9" s="826"/>
      <c r="P9" s="826"/>
      <c r="Q9" s="826"/>
      <c r="R9" s="826"/>
      <c r="S9" s="826"/>
      <c r="T9" s="826"/>
      <c r="U9" s="826"/>
    </row>
    <row r="10" spans="1:21" ht="18" x14ac:dyDescent="0.25">
      <c r="D10" s="39" t="s">
        <v>31</v>
      </c>
      <c r="E10" s="10" t="s">
        <v>154</v>
      </c>
      <c r="T10" s="9"/>
    </row>
    <row r="11" spans="1:21" ht="18.75" thickBot="1" x14ac:dyDescent="0.3">
      <c r="D11" s="39"/>
      <c r="E11" s="10"/>
      <c r="T11" s="9"/>
    </row>
    <row r="12" spans="1:21" ht="15.75" hidden="1" thickBot="1" x14ac:dyDescent="0.3">
      <c r="I12" t="s">
        <v>64</v>
      </c>
      <c r="J12" t="s">
        <v>65</v>
      </c>
      <c r="K12" t="s">
        <v>66</v>
      </c>
      <c r="L12" t="s">
        <v>67</v>
      </c>
      <c r="M12" t="s">
        <v>68</v>
      </c>
      <c r="N12" t="s">
        <v>69</v>
      </c>
      <c r="O12" t="s">
        <v>70</v>
      </c>
      <c r="P12" t="s">
        <v>71</v>
      </c>
      <c r="Q12" t="s">
        <v>72</v>
      </c>
      <c r="R12" t="s">
        <v>73</v>
      </c>
      <c r="S12" t="s">
        <v>74</v>
      </c>
    </row>
    <row r="13" spans="1:21" ht="33.75" customHeight="1" x14ac:dyDescent="0.25">
      <c r="A13" s="64"/>
      <c r="B13" s="63" t="s">
        <v>18</v>
      </c>
      <c r="C13" s="844" t="s">
        <v>17</v>
      </c>
      <c r="D13" s="879" t="s">
        <v>16</v>
      </c>
      <c r="E13" s="848" t="s">
        <v>15</v>
      </c>
      <c r="F13" s="877" t="s">
        <v>26</v>
      </c>
      <c r="G13" s="877" t="s">
        <v>215</v>
      </c>
      <c r="H13" s="877" t="s">
        <v>39</v>
      </c>
      <c r="I13" s="877" t="s">
        <v>40</v>
      </c>
      <c r="J13" s="877" t="s">
        <v>41</v>
      </c>
      <c r="K13" s="877" t="s">
        <v>42</v>
      </c>
      <c r="L13" s="877" t="s">
        <v>43</v>
      </c>
      <c r="M13" s="877" t="s">
        <v>44</v>
      </c>
      <c r="N13" s="877" t="s">
        <v>45</v>
      </c>
      <c r="O13" s="877" t="s">
        <v>46</v>
      </c>
      <c r="P13" s="877" t="s">
        <v>47</v>
      </c>
      <c r="Q13" s="877" t="s">
        <v>48</v>
      </c>
      <c r="R13" s="877" t="s">
        <v>49</v>
      </c>
      <c r="S13" s="877" t="s">
        <v>50</v>
      </c>
      <c r="T13" s="153" t="s">
        <v>90</v>
      </c>
      <c r="U13" s="877" t="s">
        <v>14</v>
      </c>
    </row>
    <row r="14" spans="1:21" ht="34.5" customHeight="1" thickBot="1" x14ac:dyDescent="0.3">
      <c r="A14" s="25" t="s">
        <v>12</v>
      </c>
      <c r="B14" s="33" t="s">
        <v>13</v>
      </c>
      <c r="C14" s="845"/>
      <c r="D14" s="879"/>
      <c r="E14" s="848"/>
      <c r="F14" s="879"/>
      <c r="G14" s="877"/>
      <c r="H14" s="877"/>
      <c r="I14" s="877"/>
      <c r="J14" s="877"/>
      <c r="K14" s="877"/>
      <c r="L14" s="877"/>
      <c r="M14" s="877"/>
      <c r="N14" s="877"/>
      <c r="O14" s="877"/>
      <c r="P14" s="877"/>
      <c r="Q14" s="877"/>
      <c r="R14" s="877"/>
      <c r="S14" s="877"/>
      <c r="T14" s="153" t="s">
        <v>91</v>
      </c>
      <c r="U14" s="877"/>
    </row>
    <row r="15" spans="1:21" ht="38.25" customHeight="1" thickTop="1" x14ac:dyDescent="0.25">
      <c r="A15" s="417">
        <v>310203</v>
      </c>
      <c r="B15" s="689">
        <v>365302</v>
      </c>
      <c r="C15" s="419" t="s">
        <v>922</v>
      </c>
      <c r="D15" s="873" t="s">
        <v>923</v>
      </c>
      <c r="E15" s="943" t="s">
        <v>578</v>
      </c>
      <c r="F15" s="918">
        <f>SUM(H15:S15)</f>
        <v>2254260</v>
      </c>
      <c r="G15" s="166" t="s">
        <v>52</v>
      </c>
      <c r="H15" s="166"/>
      <c r="I15" s="166">
        <f t="shared" ref="I15:S15" si="0">VLOOKUP($A15&amp;$B15&amp;I$12,Base,8,FALSE)</f>
        <v>0</v>
      </c>
      <c r="J15" s="166">
        <f t="shared" si="0"/>
        <v>375708.36</v>
      </c>
      <c r="K15" s="166">
        <f t="shared" si="0"/>
        <v>187854.18</v>
      </c>
      <c r="L15" s="166">
        <f t="shared" si="0"/>
        <v>187854.18</v>
      </c>
      <c r="M15" s="166">
        <f t="shared" si="0"/>
        <v>187854.18</v>
      </c>
      <c r="N15" s="166">
        <f t="shared" si="0"/>
        <v>187854.18</v>
      </c>
      <c r="O15" s="166">
        <f t="shared" si="0"/>
        <v>187854.18</v>
      </c>
      <c r="P15" s="166">
        <f t="shared" si="0"/>
        <v>187854.18</v>
      </c>
      <c r="Q15" s="166">
        <f t="shared" si="0"/>
        <v>187861.56</v>
      </c>
      <c r="R15" s="166">
        <f t="shared" si="0"/>
        <v>187855</v>
      </c>
      <c r="S15" s="166">
        <f t="shared" si="0"/>
        <v>375710</v>
      </c>
      <c r="T15" s="67">
        <f ca="1">SUM($H15:(OFFSET($H15,0,AVANCE060826!$T$2)))</f>
        <v>1690694.9999999998</v>
      </c>
      <c r="U15" s="876"/>
    </row>
    <row r="16" spans="1:21" ht="43.5" customHeight="1" x14ac:dyDescent="0.25">
      <c r="A16" s="372">
        <v>310203</v>
      </c>
      <c r="B16" s="817">
        <v>365302</v>
      </c>
      <c r="C16" s="419"/>
      <c r="D16" s="873"/>
      <c r="E16" s="943"/>
      <c r="F16" s="918"/>
      <c r="G16" s="166" t="s">
        <v>53</v>
      </c>
      <c r="H16" s="166"/>
      <c r="I16" s="166">
        <f t="shared" ref="I16:S16" si="1">VLOOKUP($A16&amp;$B16&amp;I$12,Base,9,FALSE)</f>
        <v>0</v>
      </c>
      <c r="J16" s="166">
        <f t="shared" si="1"/>
        <v>375708.36</v>
      </c>
      <c r="K16" s="166">
        <f t="shared" si="1"/>
        <v>187854.18</v>
      </c>
      <c r="L16" s="166">
        <f t="shared" si="1"/>
        <v>187854.18</v>
      </c>
      <c r="M16" s="166">
        <f t="shared" si="1"/>
        <v>187854.18</v>
      </c>
      <c r="N16" s="166">
        <f t="shared" si="1"/>
        <v>187854.18</v>
      </c>
      <c r="O16" s="166">
        <f t="shared" si="1"/>
        <v>187854.18</v>
      </c>
      <c r="P16" s="166">
        <f t="shared" si="1"/>
        <v>187854.18</v>
      </c>
      <c r="Q16" s="166">
        <f t="shared" si="1"/>
        <v>187854.18</v>
      </c>
      <c r="R16" s="166">
        <f t="shared" si="1"/>
        <v>0</v>
      </c>
      <c r="S16" s="166">
        <f t="shared" si="1"/>
        <v>0</v>
      </c>
      <c r="T16" s="67">
        <f>SUM(H16:S16)</f>
        <v>1690687.6199999996</v>
      </c>
      <c r="U16" s="876"/>
    </row>
    <row r="17" spans="1:21" x14ac:dyDescent="0.25">
      <c r="A17" s="4">
        <v>2</v>
      </c>
      <c r="B17" s="4"/>
      <c r="C17" s="24">
        <f>COUNT(#REF!)</f>
        <v>0</v>
      </c>
      <c r="D17" s="7"/>
      <c r="E17" s="6"/>
      <c r="F17" s="176">
        <f>SUM(F15:F16)</f>
        <v>2254260</v>
      </c>
      <c r="G17" s="166" t="s">
        <v>52</v>
      </c>
      <c r="H17" s="176">
        <f>+H15</f>
        <v>0</v>
      </c>
      <c r="I17" s="176">
        <f>+I15</f>
        <v>0</v>
      </c>
      <c r="J17" s="176">
        <f t="shared" ref="J17:T18" si="2">+J15</f>
        <v>375708.36</v>
      </c>
      <c r="K17" s="176">
        <f t="shared" si="2"/>
        <v>187854.18</v>
      </c>
      <c r="L17" s="176">
        <f t="shared" si="2"/>
        <v>187854.18</v>
      </c>
      <c r="M17" s="176">
        <f t="shared" si="2"/>
        <v>187854.18</v>
      </c>
      <c r="N17" s="176">
        <f t="shared" si="2"/>
        <v>187854.18</v>
      </c>
      <c r="O17" s="176">
        <f t="shared" si="2"/>
        <v>187854.18</v>
      </c>
      <c r="P17" s="176">
        <f t="shared" si="2"/>
        <v>187854.18</v>
      </c>
      <c r="Q17" s="176">
        <f t="shared" si="2"/>
        <v>187861.56</v>
      </c>
      <c r="R17" s="176">
        <f t="shared" si="2"/>
        <v>187855</v>
      </c>
      <c r="S17" s="176">
        <f t="shared" si="2"/>
        <v>375710</v>
      </c>
      <c r="T17" s="176">
        <f t="shared" ca="1" si="2"/>
        <v>1690694.9999999998</v>
      </c>
      <c r="U17" s="5"/>
    </row>
    <row r="18" spans="1:21" ht="31.5" customHeight="1" x14ac:dyDescent="0.25">
      <c r="F18" s="186"/>
      <c r="G18" s="166" t="s">
        <v>53</v>
      </c>
      <c r="H18" s="186">
        <f>+H16</f>
        <v>0</v>
      </c>
      <c r="I18" s="186">
        <f>+I16</f>
        <v>0</v>
      </c>
      <c r="J18" s="186">
        <f t="shared" si="2"/>
        <v>375708.36</v>
      </c>
      <c r="K18" s="186">
        <f t="shared" si="2"/>
        <v>187854.18</v>
      </c>
      <c r="L18" s="186">
        <f t="shared" si="2"/>
        <v>187854.18</v>
      </c>
      <c r="M18" s="186">
        <f t="shared" si="2"/>
        <v>187854.18</v>
      </c>
      <c r="N18" s="186">
        <f t="shared" si="2"/>
        <v>187854.18</v>
      </c>
      <c r="O18" s="186">
        <f t="shared" si="2"/>
        <v>187854.18</v>
      </c>
      <c r="P18" s="186">
        <f t="shared" si="2"/>
        <v>187854.18</v>
      </c>
      <c r="Q18" s="186">
        <f t="shared" si="2"/>
        <v>187854.18</v>
      </c>
      <c r="R18" s="186">
        <f t="shared" si="2"/>
        <v>0</v>
      </c>
      <c r="S18" s="186">
        <f t="shared" si="2"/>
        <v>0</v>
      </c>
      <c r="T18" s="186">
        <f t="shared" si="2"/>
        <v>1690687.6199999996</v>
      </c>
      <c r="U18" s="857"/>
    </row>
    <row r="19" spans="1:21" ht="31.5" customHeight="1" x14ac:dyDescent="0.25">
      <c r="T19" s="2"/>
      <c r="U19" s="857"/>
    </row>
    <row r="20" spans="1:21" ht="31.5" customHeight="1" x14ac:dyDescent="0.25"/>
  </sheetData>
  <mergeCells count="24">
    <mergeCell ref="P13:P14"/>
    <mergeCell ref="Q13:Q14"/>
    <mergeCell ref="R13:R14"/>
    <mergeCell ref="S13:S14"/>
    <mergeCell ref="D9:U9"/>
    <mergeCell ref="H13:H14"/>
    <mergeCell ref="I13:I14"/>
    <mergeCell ref="J13:J14"/>
    <mergeCell ref="U13:U14"/>
    <mergeCell ref="K13:K14"/>
    <mergeCell ref="L13:L14"/>
    <mergeCell ref="M13:M14"/>
    <mergeCell ref="N13:N14"/>
    <mergeCell ref="O13:O14"/>
    <mergeCell ref="C13:C14"/>
    <mergeCell ref="D13:D14"/>
    <mergeCell ref="E13:E14"/>
    <mergeCell ref="F13:F14"/>
    <mergeCell ref="G13:G14"/>
    <mergeCell ref="U15:U16"/>
    <mergeCell ref="U18:U19"/>
    <mergeCell ref="D15:D16"/>
    <mergeCell ref="E15:E16"/>
    <mergeCell ref="F15:F16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4" fitToHeight="21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="80" zoomScaleNormal="80" zoomScaleSheetLayoutView="85" zoomScalePageLayoutView="8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O12" sqref="O12:O14"/>
    </sheetView>
  </sheetViews>
  <sheetFormatPr baseColWidth="10" defaultRowHeight="15" x14ac:dyDescent="0.25"/>
  <cols>
    <col min="1" max="1" width="8.42578125" style="306" customWidth="1"/>
    <col min="2" max="2" width="9.42578125" style="306" customWidth="1"/>
    <col min="3" max="3" width="0.28515625" style="306" customWidth="1"/>
    <col min="4" max="4" width="21.5703125" style="306" customWidth="1"/>
    <col min="5" max="5" width="27.28515625" style="698" customWidth="1"/>
    <col min="6" max="7" width="16.7109375" customWidth="1"/>
    <col min="8" max="8" width="19.140625" customWidth="1"/>
    <col min="9" max="9" width="16.7109375" style="192" customWidth="1"/>
    <col min="10" max="10" width="19.7109375" customWidth="1"/>
    <col min="11" max="11" width="11.7109375" hidden="1" customWidth="1"/>
    <col min="12" max="12" width="10.28515625" hidden="1" customWidth="1"/>
    <col min="13" max="13" width="34.7109375" customWidth="1"/>
    <col min="14" max="14" width="0.85546875" customWidth="1"/>
    <col min="15" max="15" width="28" customWidth="1"/>
    <col min="16" max="16365" width="11.42578125" customWidth="1"/>
  </cols>
  <sheetData>
    <row r="1" spans="1:13" ht="18" x14ac:dyDescent="0.25">
      <c r="D1" s="10" t="s">
        <v>25</v>
      </c>
      <c r="M1" s="11"/>
    </row>
    <row r="2" spans="1:13" ht="18" x14ac:dyDescent="0.25">
      <c r="D2" s="10" t="s">
        <v>24</v>
      </c>
    </row>
    <row r="3" spans="1:13" ht="18" x14ac:dyDescent="0.25">
      <c r="D3" s="10" t="s">
        <v>23</v>
      </c>
    </row>
    <row r="4" spans="1:13" ht="18" x14ac:dyDescent="0.25">
      <c r="D4" s="10" t="s">
        <v>22</v>
      </c>
      <c r="K4" s="9"/>
      <c r="L4" s="9"/>
    </row>
    <row r="5" spans="1:13" ht="18" x14ac:dyDescent="0.25">
      <c r="D5" s="10" t="s">
        <v>21</v>
      </c>
    </row>
    <row r="6" spans="1:13" ht="20.25" x14ac:dyDescent="0.3">
      <c r="D6" s="14" t="s">
        <v>20</v>
      </c>
      <c r="E6" s="699"/>
      <c r="F6" s="16"/>
      <c r="G6" s="16"/>
      <c r="H6" s="17"/>
      <c r="I6" s="17"/>
      <c r="J6" s="17"/>
      <c r="K6" s="17"/>
      <c r="L6" s="17"/>
      <c r="M6" s="17"/>
    </row>
    <row r="7" spans="1:13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</row>
    <row r="8" spans="1:13" ht="18" x14ac:dyDescent="0.25">
      <c r="D8" s="39" t="s">
        <v>31</v>
      </c>
      <c r="E8" s="10" t="s">
        <v>155</v>
      </c>
      <c r="H8" s="9"/>
    </row>
    <row r="9" spans="1:13" ht="3.75" customHeight="1" thickBot="1" x14ac:dyDescent="0.3"/>
    <row r="10" spans="1:13" ht="18" customHeight="1" x14ac:dyDescent="0.25">
      <c r="A10" s="842" t="s">
        <v>18</v>
      </c>
      <c r="B10" s="843"/>
      <c r="C10" s="844" t="s">
        <v>17</v>
      </c>
      <c r="D10" s="879" t="s">
        <v>16</v>
      </c>
      <c r="E10" s="848" t="s">
        <v>15</v>
      </c>
      <c r="F10" s="945" t="s">
        <v>26</v>
      </c>
      <c r="G10" s="877" t="s">
        <v>89</v>
      </c>
      <c r="H10" s="877" t="s">
        <v>90</v>
      </c>
      <c r="I10" s="877"/>
      <c r="J10" s="877" t="s">
        <v>27</v>
      </c>
      <c r="K10" s="877"/>
      <c r="L10" s="877" t="s">
        <v>28</v>
      </c>
      <c r="M10" s="867" t="s">
        <v>14</v>
      </c>
    </row>
    <row r="11" spans="1:13" ht="34.5" customHeight="1" thickBot="1" x14ac:dyDescent="0.3">
      <c r="A11" s="33" t="s">
        <v>13</v>
      </c>
      <c r="B11" s="25" t="s">
        <v>12</v>
      </c>
      <c r="C11" s="845"/>
      <c r="D11" s="879"/>
      <c r="E11" s="848"/>
      <c r="F11" s="849"/>
      <c r="G11" s="877"/>
      <c r="H11" s="153" t="s">
        <v>91</v>
      </c>
      <c r="I11" s="583" t="s">
        <v>92</v>
      </c>
      <c r="J11" s="153" t="s">
        <v>962</v>
      </c>
      <c r="K11" s="153" t="s">
        <v>29</v>
      </c>
      <c r="L11" s="877"/>
      <c r="M11" s="867"/>
    </row>
    <row r="12" spans="1:13" ht="82.5" customHeight="1" thickTop="1" x14ac:dyDescent="0.25">
      <c r="A12" s="704">
        <v>389001</v>
      </c>
      <c r="B12" s="308">
        <v>100100</v>
      </c>
      <c r="C12" s="705" t="s">
        <v>924</v>
      </c>
      <c r="D12" s="243" t="s">
        <v>925</v>
      </c>
      <c r="E12" s="349" t="s">
        <v>364</v>
      </c>
      <c r="F12" s="350">
        <f>'DF SUR_Calendario'!F13</f>
        <v>74383062</v>
      </c>
      <c r="G12" s="166">
        <f>5458814.54*1.16</f>
        <v>6332224.8663999997</v>
      </c>
      <c r="H12" s="245">
        <f ca="1">'DF SUR_Calendario'!T13</f>
        <v>55386387</v>
      </c>
      <c r="I12" s="245">
        <f>'DF SUR_Calendario'!T14</f>
        <v>55386385.769999996</v>
      </c>
      <c r="J12" s="67">
        <f ca="1">H12-I12</f>
        <v>1.2300000041723251</v>
      </c>
      <c r="K12" s="67">
        <f ca="1">+J12/H12*100</f>
        <v>2.2207623042324915E-6</v>
      </c>
      <c r="L12" s="67">
        <f ca="1">+I12/H12*100</f>
        <v>99.999997779237688</v>
      </c>
      <c r="M12" s="706" t="s">
        <v>929</v>
      </c>
    </row>
    <row r="13" spans="1:13" ht="72" customHeight="1" x14ac:dyDescent="0.25">
      <c r="A13" s="707">
        <v>379103</v>
      </c>
      <c r="B13" s="311">
        <v>900110</v>
      </c>
      <c r="C13" s="705" t="s">
        <v>924</v>
      </c>
      <c r="D13" s="658" t="s">
        <v>926</v>
      </c>
      <c r="E13" s="708" t="s">
        <v>927</v>
      </c>
      <c r="F13" s="350">
        <f>'DF SUR_Calendario'!F15:F15</f>
        <v>16801786.780000001</v>
      </c>
      <c r="G13" s="166">
        <v>2084056</v>
      </c>
      <c r="H13" s="245">
        <f ca="1">'DF SUR_Calendario'!T15</f>
        <v>12601341</v>
      </c>
      <c r="I13" s="245">
        <f>'DF SUR_Calendario'!T16</f>
        <v>12601335.510000002</v>
      </c>
      <c r="J13" s="67">
        <f ca="1">H13-I13</f>
        <v>5.4899999983608723</v>
      </c>
      <c r="K13" s="67">
        <f ca="1">+J13/H13*100</f>
        <v>4.3566791807005877E-5</v>
      </c>
      <c r="L13" s="67">
        <f ca="1">+I13/H13*100</f>
        <v>99.999956433208197</v>
      </c>
      <c r="M13" s="706" t="s">
        <v>93</v>
      </c>
    </row>
    <row r="14" spans="1:13" ht="84" customHeight="1" x14ac:dyDescent="0.25">
      <c r="A14" s="709">
        <v>375301</v>
      </c>
      <c r="B14" s="346">
        <v>310203</v>
      </c>
      <c r="C14" s="710" t="s">
        <v>924</v>
      </c>
      <c r="D14" s="243" t="s">
        <v>928</v>
      </c>
      <c r="E14" s="711" t="s">
        <v>578</v>
      </c>
      <c r="F14" s="350">
        <f>'DF SUR_Calendario'!F17:F17</f>
        <v>1399572</v>
      </c>
      <c r="G14" s="166">
        <v>106488</v>
      </c>
      <c r="H14" s="245">
        <f ca="1">'DF SUR_Calendario'!T17</f>
        <v>1039536.0000000001</v>
      </c>
      <c r="I14" s="245">
        <f>'DF SUR_Calendario'!T18</f>
        <v>1039535.3700000001</v>
      </c>
      <c r="J14" s="67">
        <f ca="1">H14-I14</f>
        <v>0.63000000000465661</v>
      </c>
      <c r="K14" s="67">
        <f ca="1">+J14/H14*100</f>
        <v>6.0603961768005781E-5</v>
      </c>
      <c r="L14" s="67">
        <f ca="1">+I14/H14*100</f>
        <v>99.999939396038229</v>
      </c>
      <c r="M14" s="706" t="s">
        <v>985</v>
      </c>
    </row>
    <row r="15" spans="1:13" ht="15.75" thickBot="1" x14ac:dyDescent="0.3">
      <c r="A15" s="4"/>
      <c r="B15" s="4">
        <v>3</v>
      </c>
      <c r="C15" s="24">
        <f>COUNT(#REF!)</f>
        <v>0</v>
      </c>
      <c r="D15" s="7"/>
      <c r="E15" s="6"/>
      <c r="F15" s="32">
        <f>SUM(F12:F14)</f>
        <v>92584420.780000001</v>
      </c>
      <c r="G15" s="32">
        <f>SUM(G12:G14)</f>
        <v>8522768.8663999997</v>
      </c>
      <c r="H15" s="32">
        <f ca="1">SUM(H12:H14)</f>
        <v>69027264</v>
      </c>
      <c r="I15" s="32">
        <f>SUM(I12:I14)</f>
        <v>69027256.650000006</v>
      </c>
      <c r="J15" s="32">
        <f ca="1">H15-I15</f>
        <v>7.3499999940395355</v>
      </c>
      <c r="K15" s="150">
        <f ca="1">+J15/H15*100</f>
        <v>1.0647966568745266E-5</v>
      </c>
      <c r="L15" s="151">
        <f ca="1">+I15/H15*100</f>
        <v>99.999989352033438</v>
      </c>
      <c r="M15" s="5"/>
    </row>
    <row r="16" spans="1:13" ht="31.5" customHeight="1" x14ac:dyDescent="0.25">
      <c r="F16" s="3"/>
      <c r="G16" s="3"/>
      <c r="H16" s="2"/>
      <c r="I16" s="2"/>
      <c r="J16" s="2"/>
      <c r="K16" s="2"/>
      <c r="L16" s="2"/>
      <c r="M16" s="857"/>
    </row>
    <row r="17" spans="8:13" ht="31.5" customHeight="1" x14ac:dyDescent="0.25">
      <c r="H17" s="2"/>
      <c r="I17" s="2"/>
      <c r="J17" s="2"/>
      <c r="K17" s="2"/>
      <c r="L17" s="2"/>
      <c r="M17" s="857"/>
    </row>
    <row r="18" spans="8:13" ht="31.5" customHeight="1" x14ac:dyDescent="0.25">
      <c r="I18" s="2"/>
    </row>
    <row r="19" spans="8:13" x14ac:dyDescent="0.25">
      <c r="I19" s="2"/>
    </row>
    <row r="20" spans="8:13" x14ac:dyDescent="0.25">
      <c r="I20" s="2"/>
    </row>
    <row r="21" spans="8:13" x14ac:dyDescent="0.25">
      <c r="I21" s="2"/>
    </row>
    <row r="22" spans="8:13" x14ac:dyDescent="0.25">
      <c r="I22" s="2"/>
    </row>
    <row r="23" spans="8:13" x14ac:dyDescent="0.25">
      <c r="I23" s="2"/>
    </row>
    <row r="24" spans="8:13" x14ac:dyDescent="0.25">
      <c r="I24" s="2"/>
    </row>
    <row r="25" spans="8:13" x14ac:dyDescent="0.25">
      <c r="I25" s="2"/>
    </row>
    <row r="26" spans="8:13" x14ac:dyDescent="0.25">
      <c r="I26" s="2"/>
    </row>
    <row r="27" spans="8:13" x14ac:dyDescent="0.25">
      <c r="I27" s="2"/>
    </row>
    <row r="28" spans="8:13" x14ac:dyDescent="0.25">
      <c r="I28" s="2"/>
    </row>
    <row r="29" spans="8:13" x14ac:dyDescent="0.25">
      <c r="I29" s="2"/>
    </row>
    <row r="30" spans="8:13" x14ac:dyDescent="0.25">
      <c r="I30" s="2"/>
    </row>
    <row r="31" spans="8:13" x14ac:dyDescent="0.25">
      <c r="I31" s="2"/>
    </row>
    <row r="32" spans="8:13" x14ac:dyDescent="0.25">
      <c r="I32" s="2"/>
    </row>
    <row r="33" spans="9:9" x14ac:dyDescent="0.25">
      <c r="I33" s="2"/>
    </row>
    <row r="34" spans="9:9" x14ac:dyDescent="0.25">
      <c r="I34" s="2"/>
    </row>
    <row r="35" spans="9:9" x14ac:dyDescent="0.25">
      <c r="I35" s="2"/>
    </row>
  </sheetData>
  <mergeCells count="12">
    <mergeCell ref="M10:M11"/>
    <mergeCell ref="M16:M17"/>
    <mergeCell ref="D7:M7"/>
    <mergeCell ref="A10:B10"/>
    <mergeCell ref="C10:C11"/>
    <mergeCell ref="D10:D11"/>
    <mergeCell ref="E10:E11"/>
    <mergeCell ref="F10:F11"/>
    <mergeCell ref="G10:G11"/>
    <mergeCell ref="H10:I10"/>
    <mergeCell ref="J10:K10"/>
    <mergeCell ref="L10:L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60" fitToHeight="21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zoomScaleNormal="100" zoomScaleSheetLayoutView="85" zoomScalePageLayoutView="80" workbookViewId="0">
      <pane xSplit="3" ySplit="12" topLeftCell="O13" activePane="bottomRight" state="frozen"/>
      <selection pane="topRight" activeCell="D1" sqref="D1"/>
      <selection pane="bottomLeft" activeCell="A12" sqref="A12"/>
      <selection pane="bottomRight" activeCell="U1" sqref="U1"/>
    </sheetView>
  </sheetViews>
  <sheetFormatPr baseColWidth="10" defaultRowHeight="15" x14ac:dyDescent="0.25"/>
  <cols>
    <col min="1" max="1" width="9.42578125" style="306" customWidth="1"/>
    <col min="2" max="2" width="8.42578125" style="306" customWidth="1"/>
    <col min="3" max="3" width="0.28515625" style="306" customWidth="1"/>
    <col min="4" max="4" width="32.28515625" style="306" customWidth="1"/>
    <col min="5" max="5" width="27.28515625" style="698" customWidth="1"/>
    <col min="6" max="19" width="16.7109375" customWidth="1"/>
    <col min="20" max="20" width="19.140625" customWidth="1"/>
    <col min="21" max="21" width="47.140625" customWidth="1"/>
    <col min="22" max="22" width="5" customWidth="1"/>
    <col min="23" max="23" width="28" customWidth="1"/>
    <col min="24" max="16373" width="11.42578125" customWidth="1"/>
  </cols>
  <sheetData>
    <row r="1" spans="1:21" ht="18" x14ac:dyDescent="0.25">
      <c r="D1" s="10" t="s">
        <v>25</v>
      </c>
      <c r="U1" s="11"/>
    </row>
    <row r="2" spans="1:21" ht="18" x14ac:dyDescent="0.25">
      <c r="D2" s="10" t="s">
        <v>24</v>
      </c>
    </row>
    <row r="3" spans="1:21" ht="18" x14ac:dyDescent="0.25">
      <c r="D3" s="10" t="s">
        <v>23</v>
      </c>
    </row>
    <row r="4" spans="1:21" ht="18" x14ac:dyDescent="0.25">
      <c r="D4" s="10" t="s">
        <v>22</v>
      </c>
    </row>
    <row r="5" spans="1:21" ht="18" x14ac:dyDescent="0.25">
      <c r="D5" s="10" t="s">
        <v>21</v>
      </c>
      <c r="I5" s="9">
        <f ca="1">SUM(H13:(OFFSET(H13,0,AVANCE060826!S2)))</f>
        <v>55386387</v>
      </c>
      <c r="J5">
        <f ca="1">OFFSET(H13,0,AVANCE060826!S2)</f>
        <v>6332226.0899999999</v>
      </c>
    </row>
    <row r="6" spans="1:21" ht="20.25" x14ac:dyDescent="0.3">
      <c r="D6" s="14" t="s">
        <v>20</v>
      </c>
      <c r="E6" s="699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</row>
    <row r="7" spans="1:21" ht="21" x14ac:dyDescent="0.35">
      <c r="D7" s="826" t="s">
        <v>61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</row>
    <row r="8" spans="1:21" ht="18" x14ac:dyDescent="0.25">
      <c r="D8" s="39" t="s">
        <v>31</v>
      </c>
      <c r="E8" s="10" t="s">
        <v>155</v>
      </c>
      <c r="T8" s="9"/>
    </row>
    <row r="9" spans="1:21" ht="18" x14ac:dyDescent="0.25">
      <c r="D9" s="39"/>
      <c r="E9" s="10"/>
      <c r="T9" s="9"/>
    </row>
    <row r="10" spans="1:21" hidden="1" x14ac:dyDescent="0.25">
      <c r="H10" t="s">
        <v>104</v>
      </c>
      <c r="I10" t="s">
        <v>64</v>
      </c>
      <c r="J10" t="s">
        <v>65</v>
      </c>
      <c r="K10" t="s">
        <v>66</v>
      </c>
      <c r="L10" t="s">
        <v>67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 t="s">
        <v>73</v>
      </c>
      <c r="S10" t="s">
        <v>74</v>
      </c>
    </row>
    <row r="11" spans="1:21" ht="18" customHeight="1" x14ac:dyDescent="0.25">
      <c r="A11" s="25"/>
      <c r="B11" s="25" t="s">
        <v>18</v>
      </c>
      <c r="C11" s="920" t="s">
        <v>17</v>
      </c>
      <c r="D11" s="879" t="s">
        <v>16</v>
      </c>
      <c r="E11" s="848" t="s">
        <v>15</v>
      </c>
      <c r="F11" s="877" t="s">
        <v>26</v>
      </c>
      <c r="G11" s="877"/>
      <c r="H11" s="877" t="s">
        <v>39</v>
      </c>
      <c r="I11" s="877" t="s">
        <v>40</v>
      </c>
      <c r="J11" s="877" t="s">
        <v>41</v>
      </c>
      <c r="K11" s="877" t="s">
        <v>42</v>
      </c>
      <c r="L11" s="877" t="s">
        <v>43</v>
      </c>
      <c r="M11" s="877" t="s">
        <v>44</v>
      </c>
      <c r="N11" s="877" t="s">
        <v>45</v>
      </c>
      <c r="O11" s="877" t="s">
        <v>46</v>
      </c>
      <c r="P11" s="877" t="s">
        <v>47</v>
      </c>
      <c r="Q11" s="877" t="s">
        <v>48</v>
      </c>
      <c r="R11" s="877" t="s">
        <v>49</v>
      </c>
      <c r="S11" s="877" t="s">
        <v>50</v>
      </c>
      <c r="T11" s="880" t="s">
        <v>950</v>
      </c>
      <c r="U11" s="877" t="s">
        <v>14</v>
      </c>
    </row>
    <row r="12" spans="1:21" ht="34.5" customHeight="1" x14ac:dyDescent="0.25">
      <c r="A12" s="25" t="s">
        <v>12</v>
      </c>
      <c r="B12" s="25" t="s">
        <v>13</v>
      </c>
      <c r="C12" s="920"/>
      <c r="D12" s="879"/>
      <c r="E12" s="848"/>
      <c r="F12" s="879"/>
      <c r="G12" s="877"/>
      <c r="H12" s="877"/>
      <c r="I12" s="877"/>
      <c r="J12" s="877"/>
      <c r="K12" s="877"/>
      <c r="L12" s="877"/>
      <c r="M12" s="877"/>
      <c r="N12" s="877"/>
      <c r="O12" s="877"/>
      <c r="P12" s="877"/>
      <c r="Q12" s="877"/>
      <c r="R12" s="877"/>
      <c r="S12" s="877"/>
      <c r="T12" s="866"/>
      <c r="U12" s="877"/>
    </row>
    <row r="13" spans="1:21" ht="36.75" customHeight="1" x14ac:dyDescent="0.25">
      <c r="A13" s="349">
        <v>100100</v>
      </c>
      <c r="B13" s="700">
        <v>389001</v>
      </c>
      <c r="C13" s="701" t="s">
        <v>924</v>
      </c>
      <c r="D13" s="873" t="s">
        <v>925</v>
      </c>
      <c r="E13" s="943" t="s">
        <v>364</v>
      </c>
      <c r="F13" s="918">
        <f>SUM(H13:S13)</f>
        <v>74383062</v>
      </c>
      <c r="G13" s="702" t="s">
        <v>52</v>
      </c>
      <c r="H13" s="166"/>
      <c r="I13" s="166">
        <f t="shared" ref="I13:S13" si="0">VLOOKUP($A13&amp;$B13&amp;I$10,Base,8,FALSE)</f>
        <v>0</v>
      </c>
      <c r="J13" s="166">
        <f t="shared" si="0"/>
        <v>11595357.74</v>
      </c>
      <c r="K13" s="166">
        <f t="shared" si="0"/>
        <v>5797678.8700000001</v>
      </c>
      <c r="L13" s="166">
        <f t="shared" si="0"/>
        <v>0</v>
      </c>
      <c r="M13" s="166">
        <f t="shared" si="0"/>
        <v>12664449.720000001</v>
      </c>
      <c r="N13" s="166">
        <f t="shared" si="0"/>
        <v>6332224.8600000003</v>
      </c>
      <c r="O13" s="166">
        <f t="shared" si="0"/>
        <v>6332224.8600000003</v>
      </c>
      <c r="P13" s="166">
        <f t="shared" si="0"/>
        <v>6332224.8600000003</v>
      </c>
      <c r="Q13" s="166">
        <f t="shared" si="0"/>
        <v>6332226.0899999999</v>
      </c>
      <c r="R13" s="166">
        <f t="shared" si="0"/>
        <v>6332225</v>
      </c>
      <c r="S13" s="166">
        <f t="shared" si="0"/>
        <v>12664450</v>
      </c>
      <c r="T13" s="245">
        <f ca="1">SUM($H13:(OFFSET($H13,0,AVANCE060826!$T$2)))</f>
        <v>55386387</v>
      </c>
      <c r="U13" s="334"/>
    </row>
    <row r="14" spans="1:21" ht="36.75" customHeight="1" x14ac:dyDescent="0.25">
      <c r="A14" s="349">
        <v>100100</v>
      </c>
      <c r="B14" s="700">
        <v>389001</v>
      </c>
      <c r="C14" s="701"/>
      <c r="D14" s="873"/>
      <c r="E14" s="943"/>
      <c r="F14" s="918"/>
      <c r="G14" s="702" t="s">
        <v>53</v>
      </c>
      <c r="H14" s="166"/>
      <c r="I14" s="166">
        <f t="shared" ref="I14:S14" si="1">VLOOKUP($A14&amp;$B14&amp;I$10,Base,9,FALSE)</f>
        <v>0</v>
      </c>
      <c r="J14" s="166">
        <f t="shared" si="1"/>
        <v>11595357.74</v>
      </c>
      <c r="K14" s="166">
        <f t="shared" si="1"/>
        <v>5797678.8700000001</v>
      </c>
      <c r="L14" s="166">
        <f t="shared" si="1"/>
        <v>0</v>
      </c>
      <c r="M14" s="166">
        <f t="shared" si="1"/>
        <v>12664449.720000001</v>
      </c>
      <c r="N14" s="166">
        <f t="shared" si="1"/>
        <v>6332224.8600000003</v>
      </c>
      <c r="O14" s="166">
        <f t="shared" si="1"/>
        <v>6332224.8600000003</v>
      </c>
      <c r="P14" s="166">
        <f t="shared" si="1"/>
        <v>6332224.8600000003</v>
      </c>
      <c r="Q14" s="166">
        <f t="shared" si="1"/>
        <v>6332224.8600000003</v>
      </c>
      <c r="R14" s="166">
        <f t="shared" si="1"/>
        <v>0</v>
      </c>
      <c r="S14" s="166">
        <f t="shared" si="1"/>
        <v>0</v>
      </c>
      <c r="T14" s="245">
        <f>SUM(H14:S14)</f>
        <v>55386385.769999996</v>
      </c>
      <c r="U14" s="334"/>
    </row>
    <row r="15" spans="1:21" ht="36.75" customHeight="1" x14ac:dyDescent="0.25">
      <c r="A15" s="349">
        <v>900110</v>
      </c>
      <c r="B15" s="700">
        <v>379103</v>
      </c>
      <c r="C15" s="701" t="s">
        <v>924</v>
      </c>
      <c r="D15" s="873" t="s">
        <v>926</v>
      </c>
      <c r="E15" s="1039" t="s">
        <v>927</v>
      </c>
      <c r="F15" s="918">
        <f>SUM(H15:S15)</f>
        <v>16801786.780000001</v>
      </c>
      <c r="G15" s="702" t="s">
        <v>52</v>
      </c>
      <c r="H15" s="166"/>
      <c r="I15" s="166">
        <f t="shared" ref="I15:S15" si="2">VLOOKUP($A15&amp;$B15&amp;I$10,Base,8,FALSE)</f>
        <v>1400148.39</v>
      </c>
      <c r="J15" s="166">
        <f t="shared" si="2"/>
        <v>1400148.39</v>
      </c>
      <c r="K15" s="166">
        <f t="shared" si="2"/>
        <v>1400148.39</v>
      </c>
      <c r="L15" s="166">
        <f t="shared" si="2"/>
        <v>1400148.39</v>
      </c>
      <c r="M15" s="166">
        <f t="shared" si="2"/>
        <v>1400148.39</v>
      </c>
      <c r="N15" s="166">
        <f t="shared" si="2"/>
        <v>1400148.39</v>
      </c>
      <c r="O15" s="166">
        <f t="shared" si="2"/>
        <v>1400148.39</v>
      </c>
      <c r="P15" s="166">
        <f t="shared" si="2"/>
        <v>1400148.39</v>
      </c>
      <c r="Q15" s="166">
        <f t="shared" si="2"/>
        <v>1400153.88</v>
      </c>
      <c r="R15" s="166">
        <f t="shared" si="2"/>
        <v>1400149</v>
      </c>
      <c r="S15" s="166">
        <f t="shared" si="2"/>
        <v>2800296.78</v>
      </c>
      <c r="T15" s="245">
        <f ca="1">SUM($H15:(OFFSET($H15,0,AVANCE060826!$T$2)))</f>
        <v>12601341</v>
      </c>
      <c r="U15" s="934"/>
    </row>
    <row r="16" spans="1:21" ht="36.75" customHeight="1" x14ac:dyDescent="0.25">
      <c r="A16" s="349">
        <v>900110</v>
      </c>
      <c r="B16" s="700">
        <v>379103</v>
      </c>
      <c r="C16" s="701"/>
      <c r="D16" s="873"/>
      <c r="E16" s="1039"/>
      <c r="F16" s="918"/>
      <c r="G16" s="702" t="s">
        <v>53</v>
      </c>
      <c r="H16" s="166"/>
      <c r="I16" s="166">
        <f t="shared" ref="I16:S16" si="3">VLOOKUP($A16&amp;$B16&amp;I$10,Base,9,FALSE)</f>
        <v>1400148.39</v>
      </c>
      <c r="J16" s="166">
        <f t="shared" si="3"/>
        <v>1400148.39</v>
      </c>
      <c r="K16" s="166">
        <f t="shared" si="3"/>
        <v>1400148.39</v>
      </c>
      <c r="L16" s="166">
        <f t="shared" si="3"/>
        <v>1400148.39</v>
      </c>
      <c r="M16" s="166">
        <f t="shared" si="3"/>
        <v>1400148.39</v>
      </c>
      <c r="N16" s="166">
        <f t="shared" si="3"/>
        <v>1400148.39</v>
      </c>
      <c r="O16" s="166">
        <f t="shared" si="3"/>
        <v>1400148.39</v>
      </c>
      <c r="P16" s="166">
        <f t="shared" si="3"/>
        <v>1400148.39</v>
      </c>
      <c r="Q16" s="166">
        <f t="shared" si="3"/>
        <v>1400148.39</v>
      </c>
      <c r="R16" s="166">
        <f t="shared" si="3"/>
        <v>0</v>
      </c>
      <c r="S16" s="166">
        <f t="shared" si="3"/>
        <v>0</v>
      </c>
      <c r="T16" s="245">
        <f>SUM(H16:S16)</f>
        <v>12601335.510000002</v>
      </c>
      <c r="U16" s="935"/>
    </row>
    <row r="17" spans="1:21" ht="36.75" customHeight="1" x14ac:dyDescent="0.25">
      <c r="A17" s="372">
        <v>310203</v>
      </c>
      <c r="B17" s="703">
        <v>375301</v>
      </c>
      <c r="C17" s="701" t="s">
        <v>924</v>
      </c>
      <c r="D17" s="873" t="s">
        <v>928</v>
      </c>
      <c r="E17" s="1038" t="s">
        <v>578</v>
      </c>
      <c r="F17" s="918">
        <f>SUM(H17:S17)</f>
        <v>1399572</v>
      </c>
      <c r="G17" s="702" t="s">
        <v>52</v>
      </c>
      <c r="H17" s="166"/>
      <c r="I17" s="166">
        <f t="shared" ref="I17:S17" si="4">VLOOKUP($A17&amp;$B17&amp;I$10,Base,8,FALSE)</f>
        <v>106487.95</v>
      </c>
      <c r="J17" s="166">
        <f t="shared" si="4"/>
        <v>106487.95</v>
      </c>
      <c r="K17" s="166">
        <f t="shared" si="4"/>
        <v>106487.95</v>
      </c>
      <c r="L17" s="166">
        <f t="shared" si="4"/>
        <v>0</v>
      </c>
      <c r="M17" s="166">
        <f t="shared" si="4"/>
        <v>240023.84</v>
      </c>
      <c r="N17" s="166">
        <f t="shared" si="4"/>
        <v>120011.92</v>
      </c>
      <c r="O17" s="166">
        <f t="shared" si="4"/>
        <v>120011.92</v>
      </c>
      <c r="P17" s="166">
        <f t="shared" si="4"/>
        <v>120011.92</v>
      </c>
      <c r="Q17" s="166">
        <f t="shared" si="4"/>
        <v>120012.55</v>
      </c>
      <c r="R17" s="166">
        <f t="shared" si="4"/>
        <v>120012</v>
      </c>
      <c r="S17" s="166">
        <f t="shared" si="4"/>
        <v>240024</v>
      </c>
      <c r="T17" s="245">
        <f ca="1">SUM($H17:(OFFSET($H17,0,AVANCE060826!$T$2)))</f>
        <v>1039536.0000000001</v>
      </c>
      <c r="U17" s="934"/>
    </row>
    <row r="18" spans="1:21" ht="36.75" customHeight="1" x14ac:dyDescent="0.25">
      <c r="A18" s="372">
        <v>310203</v>
      </c>
      <c r="B18" s="703">
        <v>375301</v>
      </c>
      <c r="C18" s="701"/>
      <c r="D18" s="873"/>
      <c r="E18" s="1038"/>
      <c r="F18" s="918"/>
      <c r="G18" s="702" t="s">
        <v>53</v>
      </c>
      <c r="H18" s="166"/>
      <c r="I18" s="166">
        <f t="shared" ref="I18:S18" si="5">VLOOKUP($A18&amp;$B18&amp;I$10,Base,9,FALSE)</f>
        <v>106487.95</v>
      </c>
      <c r="J18" s="166">
        <f t="shared" si="5"/>
        <v>106487.95</v>
      </c>
      <c r="K18" s="166">
        <f t="shared" si="5"/>
        <v>106487.95</v>
      </c>
      <c r="L18" s="166">
        <f t="shared" si="5"/>
        <v>0</v>
      </c>
      <c r="M18" s="166">
        <f t="shared" si="5"/>
        <v>240023.84</v>
      </c>
      <c r="N18" s="166">
        <f t="shared" si="5"/>
        <v>120011.92</v>
      </c>
      <c r="O18" s="166">
        <f t="shared" si="5"/>
        <v>120011.92</v>
      </c>
      <c r="P18" s="166">
        <f t="shared" si="5"/>
        <v>120011.92</v>
      </c>
      <c r="Q18" s="166">
        <f t="shared" si="5"/>
        <v>120011.92</v>
      </c>
      <c r="R18" s="166">
        <f t="shared" si="5"/>
        <v>0</v>
      </c>
      <c r="S18" s="166">
        <f t="shared" si="5"/>
        <v>0</v>
      </c>
      <c r="T18" s="245">
        <f>SUM(H18:S18)</f>
        <v>1039535.3700000001</v>
      </c>
      <c r="U18" s="935"/>
    </row>
    <row r="19" spans="1:21" ht="15.75" thickBot="1" x14ac:dyDescent="0.3">
      <c r="A19" s="4">
        <v>3</v>
      </c>
      <c r="B19" s="4"/>
      <c r="C19" s="24">
        <f>COUNT(#REF!)</f>
        <v>0</v>
      </c>
      <c r="D19" s="7"/>
      <c r="E19" s="6"/>
      <c r="F19" s="32">
        <f>SUM(F13:F18)</f>
        <v>92584420.780000001</v>
      </c>
      <c r="G19" s="47" t="s">
        <v>52</v>
      </c>
      <c r="H19" s="176">
        <f>+H13+H15+H17</f>
        <v>0</v>
      </c>
      <c r="I19" s="176">
        <f t="shared" ref="I19:T19" si="6">+I13+I15+I17</f>
        <v>1506636.3399999999</v>
      </c>
      <c r="J19" s="176">
        <f t="shared" si="6"/>
        <v>13101994.08</v>
      </c>
      <c r="K19" s="176">
        <f t="shared" si="6"/>
        <v>7304315.21</v>
      </c>
      <c r="L19" s="176">
        <f t="shared" si="6"/>
        <v>1400148.39</v>
      </c>
      <c r="M19" s="176">
        <f t="shared" si="6"/>
        <v>14304621.950000001</v>
      </c>
      <c r="N19" s="176">
        <f t="shared" ref="N19:S19" si="7">+N13+N15+N17</f>
        <v>7852385.1699999999</v>
      </c>
      <c r="O19" s="176">
        <f t="shared" si="7"/>
        <v>7852385.1699999999</v>
      </c>
      <c r="P19" s="176">
        <f t="shared" si="7"/>
        <v>7852385.1699999999</v>
      </c>
      <c r="Q19" s="176">
        <f t="shared" si="7"/>
        <v>7852392.5199999996</v>
      </c>
      <c r="R19" s="176">
        <f t="shared" si="7"/>
        <v>7852386</v>
      </c>
      <c r="S19" s="176">
        <f t="shared" si="7"/>
        <v>15704770.779999999</v>
      </c>
      <c r="T19" s="176">
        <f t="shared" ca="1" si="6"/>
        <v>69027264</v>
      </c>
      <c r="U19" s="5"/>
    </row>
    <row r="20" spans="1:21" ht="31.5" customHeight="1" x14ac:dyDescent="0.25">
      <c r="F20" s="3"/>
      <c r="G20" s="47" t="s">
        <v>53</v>
      </c>
      <c r="H20" s="176">
        <f t="shared" ref="H20:T20" si="8">+H14+H16+H18</f>
        <v>0</v>
      </c>
      <c r="I20" s="176">
        <f t="shared" si="8"/>
        <v>1506636.3399999999</v>
      </c>
      <c r="J20" s="176">
        <f t="shared" si="8"/>
        <v>13101994.08</v>
      </c>
      <c r="K20" s="176">
        <f t="shared" si="8"/>
        <v>7304315.21</v>
      </c>
      <c r="L20" s="176">
        <f t="shared" si="8"/>
        <v>1400148.39</v>
      </c>
      <c r="M20" s="176">
        <f t="shared" si="8"/>
        <v>14304621.950000001</v>
      </c>
      <c r="N20" s="176">
        <f t="shared" ref="N20:S20" si="9">+N14+N16+N18</f>
        <v>7852385.1699999999</v>
      </c>
      <c r="O20" s="176">
        <f t="shared" si="9"/>
        <v>7852385.1699999999</v>
      </c>
      <c r="P20" s="176">
        <f t="shared" si="9"/>
        <v>7852385.1699999999</v>
      </c>
      <c r="Q20" s="176">
        <f t="shared" si="9"/>
        <v>7852385.1699999999</v>
      </c>
      <c r="R20" s="176">
        <f t="shared" si="9"/>
        <v>0</v>
      </c>
      <c r="S20" s="176">
        <f t="shared" si="9"/>
        <v>0</v>
      </c>
      <c r="T20" s="176">
        <f t="shared" si="8"/>
        <v>69027256.650000006</v>
      </c>
      <c r="U20" s="857"/>
    </row>
    <row r="21" spans="1:21" ht="31.5" customHeight="1" x14ac:dyDescent="0.25">
      <c r="T21" s="2"/>
      <c r="U21" s="857"/>
    </row>
    <row r="22" spans="1:21" ht="31.5" customHeight="1" x14ac:dyDescent="0.25">
      <c r="T22" s="2"/>
    </row>
  </sheetData>
  <autoFilter ref="G11:G20"/>
  <mergeCells count="32">
    <mergeCell ref="D7:U7"/>
    <mergeCell ref="C11:C12"/>
    <mergeCell ref="D11:D12"/>
    <mergeCell ref="E11:E12"/>
    <mergeCell ref="F11:F12"/>
    <mergeCell ref="G11:G12"/>
    <mergeCell ref="H11:H12"/>
    <mergeCell ref="I11:I12"/>
    <mergeCell ref="J11:J12"/>
    <mergeCell ref="U11:U12"/>
    <mergeCell ref="K11:K12"/>
    <mergeCell ref="L11:L12"/>
    <mergeCell ref="M11:M12"/>
    <mergeCell ref="Q11:Q12"/>
    <mergeCell ref="R11:R12"/>
    <mergeCell ref="S11:S12"/>
    <mergeCell ref="T11:T12"/>
    <mergeCell ref="D13:D14"/>
    <mergeCell ref="E13:E14"/>
    <mergeCell ref="F13:F14"/>
    <mergeCell ref="N11:N12"/>
    <mergeCell ref="O11:O12"/>
    <mergeCell ref="P11:P12"/>
    <mergeCell ref="U20:U21"/>
    <mergeCell ref="U15:U16"/>
    <mergeCell ref="U17:U18"/>
    <mergeCell ref="D17:D18"/>
    <mergeCell ref="E17:E18"/>
    <mergeCell ref="F17:F18"/>
    <mergeCell ref="D15:D16"/>
    <mergeCell ref="E15:E16"/>
    <mergeCell ref="F15:F16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31" fitToHeight="21" orientation="landscape" r:id="rId1"/>
  <ignoredErrors>
    <ignoredError sqref="T14:T17 I14:S16 I17:S17" formula="1"/>
  </ignoredErrors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70"/>
  <sheetViews>
    <sheetView workbookViewId="0">
      <pane xSplit="2" ySplit="9" topLeftCell="C3150" activePane="bottomRight" state="frozen"/>
      <selection pane="topRight" activeCell="C1" sqref="C1"/>
      <selection pane="bottomLeft" activeCell="A10" sqref="A10"/>
      <selection pane="bottomRight" activeCell="B1" sqref="B1:L1044955"/>
    </sheetView>
  </sheetViews>
  <sheetFormatPr baseColWidth="10" defaultRowHeight="15" x14ac:dyDescent="0.25"/>
  <cols>
    <col min="1" max="1" width="21" customWidth="1"/>
  </cols>
  <sheetData>
    <row r="1" spans="1:20" x14ac:dyDescent="0.25">
      <c r="B1" t="s">
        <v>25</v>
      </c>
      <c r="C1" t="s">
        <v>996</v>
      </c>
    </row>
    <row r="2" spans="1:20" x14ac:dyDescent="0.25">
      <c r="B2" t="s">
        <v>96</v>
      </c>
      <c r="C2" t="s">
        <v>997</v>
      </c>
      <c r="P2" t="s">
        <v>932</v>
      </c>
      <c r="Q2" t="str">
        <f>RIGHT(C1,7)</f>
        <v>10/2026</v>
      </c>
      <c r="R2" t="str">
        <f>VLOOKUP(Q2,$P$8:$Q$19,2,FALSE)</f>
        <v>2026M10</v>
      </c>
      <c r="S2">
        <f>((VLOOKUP(Q2,$P$8:$R$19,3,FALSE)-1))</f>
        <v>9</v>
      </c>
      <c r="T2">
        <f>((VLOOKUP(R2,$Q$8:$R$19,2,FALSE))-1)</f>
        <v>9</v>
      </c>
    </row>
    <row r="3" spans="1:20" x14ac:dyDescent="0.25">
      <c r="B3" t="s">
        <v>97</v>
      </c>
      <c r="C3" t="s">
        <v>98</v>
      </c>
    </row>
    <row r="4" spans="1:20" x14ac:dyDescent="0.25">
      <c r="B4" t="s">
        <v>99</v>
      </c>
    </row>
    <row r="5" spans="1:20" x14ac:dyDescent="0.25">
      <c r="B5" t="s">
        <v>100</v>
      </c>
    </row>
    <row r="7" spans="1:20" x14ac:dyDescent="0.25">
      <c r="B7" t="s">
        <v>101</v>
      </c>
      <c r="C7" t="s">
        <v>102</v>
      </c>
      <c r="D7" t="s">
        <v>103</v>
      </c>
      <c r="E7" t="s">
        <v>104</v>
      </c>
      <c r="F7" t="s">
        <v>105</v>
      </c>
      <c r="G7" t="s">
        <v>74</v>
      </c>
      <c r="P7" t="s">
        <v>933</v>
      </c>
      <c r="Q7" t="s">
        <v>934</v>
      </c>
      <c r="R7" t="s">
        <v>947</v>
      </c>
    </row>
    <row r="8" spans="1:20" x14ac:dyDescent="0.25">
      <c r="P8" s="758" t="s">
        <v>935</v>
      </c>
      <c r="Q8" t="s">
        <v>104</v>
      </c>
      <c r="R8">
        <v>1</v>
      </c>
    </row>
    <row r="9" spans="1:20" x14ac:dyDescent="0.25">
      <c r="A9" t="s">
        <v>156</v>
      </c>
      <c r="B9" t="s">
        <v>62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63</v>
      </c>
      <c r="J9" t="s">
        <v>112</v>
      </c>
      <c r="K9" t="s">
        <v>113</v>
      </c>
      <c r="L9" t="s">
        <v>114</v>
      </c>
      <c r="P9" s="758" t="s">
        <v>936</v>
      </c>
      <c r="Q9" t="s">
        <v>64</v>
      </c>
      <c r="R9">
        <v>2</v>
      </c>
    </row>
    <row r="10" spans="1:20" x14ac:dyDescent="0.25">
      <c r="A10" t="str">
        <f>D10&amp;E10&amp;G10</f>
        <v>50100190012026M02</v>
      </c>
      <c r="B10">
        <v>51321001</v>
      </c>
      <c r="C10">
        <v>1</v>
      </c>
      <c r="D10">
        <v>50100</v>
      </c>
      <c r="E10">
        <v>19001</v>
      </c>
      <c r="F10" t="s">
        <v>115</v>
      </c>
      <c r="G10" t="s">
        <v>64</v>
      </c>
      <c r="H10">
        <v>0</v>
      </c>
      <c r="I10">
        <v>0</v>
      </c>
      <c r="J10">
        <v>0</v>
      </c>
      <c r="K10">
        <v>0</v>
      </c>
      <c r="L10">
        <v>0</v>
      </c>
      <c r="P10" s="758" t="s">
        <v>937</v>
      </c>
      <c r="Q10" t="s">
        <v>65</v>
      </c>
      <c r="R10">
        <v>3</v>
      </c>
    </row>
    <row r="11" spans="1:20" x14ac:dyDescent="0.25">
      <c r="A11" t="str">
        <f t="shared" ref="A11:A74" si="0">D11&amp;E11&amp;G11</f>
        <v>50100190012026M03</v>
      </c>
      <c r="B11">
        <v>51321001</v>
      </c>
      <c r="C11">
        <v>1</v>
      </c>
      <c r="D11">
        <v>50100</v>
      </c>
      <c r="E11">
        <v>19001</v>
      </c>
      <c r="F11" t="s">
        <v>115</v>
      </c>
      <c r="G11" t="s">
        <v>65</v>
      </c>
      <c r="H11">
        <v>49999.98</v>
      </c>
      <c r="I11">
        <v>49999.98</v>
      </c>
      <c r="J11">
        <v>0</v>
      </c>
      <c r="K11">
        <v>0</v>
      </c>
      <c r="L11">
        <v>0</v>
      </c>
      <c r="P11" s="758" t="s">
        <v>938</v>
      </c>
      <c r="Q11" t="s">
        <v>66</v>
      </c>
      <c r="R11">
        <v>4</v>
      </c>
    </row>
    <row r="12" spans="1:20" x14ac:dyDescent="0.25">
      <c r="A12" t="str">
        <f t="shared" si="0"/>
        <v>50100190012026M04</v>
      </c>
      <c r="B12">
        <v>51321001</v>
      </c>
      <c r="C12">
        <v>1</v>
      </c>
      <c r="D12">
        <v>50100</v>
      </c>
      <c r="E12">
        <v>19001</v>
      </c>
      <c r="F12" t="s">
        <v>115</v>
      </c>
      <c r="G12" t="s">
        <v>66</v>
      </c>
      <c r="H12">
        <v>24999.99</v>
      </c>
      <c r="I12">
        <v>24999.99</v>
      </c>
      <c r="J12">
        <v>0</v>
      </c>
      <c r="K12">
        <v>0</v>
      </c>
      <c r="L12">
        <v>0</v>
      </c>
      <c r="P12" s="758" t="s">
        <v>939</v>
      </c>
      <c r="Q12" t="s">
        <v>67</v>
      </c>
      <c r="R12">
        <v>5</v>
      </c>
    </row>
    <row r="13" spans="1:20" x14ac:dyDescent="0.25">
      <c r="A13" t="str">
        <f t="shared" si="0"/>
        <v>50100190012026M05</v>
      </c>
      <c r="B13">
        <v>51321001</v>
      </c>
      <c r="C13">
        <v>1</v>
      </c>
      <c r="D13">
        <v>50100</v>
      </c>
      <c r="E13">
        <v>19001</v>
      </c>
      <c r="F13" t="s">
        <v>115</v>
      </c>
      <c r="G13" t="s">
        <v>67</v>
      </c>
      <c r="H13">
        <v>24999.99</v>
      </c>
      <c r="I13">
        <v>24999.99</v>
      </c>
      <c r="J13">
        <v>0</v>
      </c>
      <c r="K13">
        <v>0</v>
      </c>
      <c r="L13">
        <v>0</v>
      </c>
      <c r="P13" s="758" t="s">
        <v>940</v>
      </c>
      <c r="Q13" t="s">
        <v>68</v>
      </c>
      <c r="R13">
        <v>6</v>
      </c>
    </row>
    <row r="14" spans="1:20" x14ac:dyDescent="0.25">
      <c r="A14" t="str">
        <f t="shared" si="0"/>
        <v>50100190012026M06</v>
      </c>
      <c r="B14">
        <v>51321001</v>
      </c>
      <c r="C14">
        <v>1</v>
      </c>
      <c r="D14">
        <v>50100</v>
      </c>
      <c r="E14">
        <v>19001</v>
      </c>
      <c r="F14" t="s">
        <v>115</v>
      </c>
      <c r="G14" t="s">
        <v>68</v>
      </c>
      <c r="H14">
        <v>24999.99</v>
      </c>
      <c r="I14">
        <v>24999.99</v>
      </c>
      <c r="J14">
        <v>0</v>
      </c>
      <c r="K14">
        <v>0</v>
      </c>
      <c r="L14">
        <v>0</v>
      </c>
      <c r="P14" s="758" t="s">
        <v>941</v>
      </c>
      <c r="Q14" t="s">
        <v>69</v>
      </c>
      <c r="R14">
        <v>7</v>
      </c>
    </row>
    <row r="15" spans="1:20" x14ac:dyDescent="0.25">
      <c r="A15" t="str">
        <f t="shared" si="0"/>
        <v>50100190012026M07</v>
      </c>
      <c r="B15">
        <v>51321001</v>
      </c>
      <c r="C15">
        <v>1</v>
      </c>
      <c r="D15">
        <v>50100</v>
      </c>
      <c r="E15">
        <v>19001</v>
      </c>
      <c r="F15" t="s">
        <v>115</v>
      </c>
      <c r="G15" t="s">
        <v>69</v>
      </c>
      <c r="H15">
        <v>27542.5</v>
      </c>
      <c r="I15">
        <v>27542.5</v>
      </c>
      <c r="J15">
        <v>0</v>
      </c>
      <c r="K15">
        <v>0</v>
      </c>
      <c r="L15">
        <v>0</v>
      </c>
      <c r="P15" s="758" t="s">
        <v>942</v>
      </c>
      <c r="Q15" t="s">
        <v>70</v>
      </c>
      <c r="R15">
        <v>8</v>
      </c>
    </row>
    <row r="16" spans="1:20" x14ac:dyDescent="0.25">
      <c r="A16" t="str">
        <f t="shared" si="0"/>
        <v>50100190012026M08</v>
      </c>
      <c r="B16">
        <v>51321001</v>
      </c>
      <c r="C16">
        <v>1</v>
      </c>
      <c r="D16">
        <v>50100</v>
      </c>
      <c r="E16">
        <v>19001</v>
      </c>
      <c r="F16" t="s">
        <v>115</v>
      </c>
      <c r="G16" t="s">
        <v>70</v>
      </c>
      <c r="H16">
        <v>27542.5</v>
      </c>
      <c r="I16">
        <v>27542.5</v>
      </c>
      <c r="J16">
        <v>0</v>
      </c>
      <c r="K16">
        <v>0</v>
      </c>
      <c r="L16">
        <v>0</v>
      </c>
      <c r="P16" s="758" t="s">
        <v>943</v>
      </c>
      <c r="Q16" t="s">
        <v>71</v>
      </c>
      <c r="R16">
        <v>9</v>
      </c>
    </row>
    <row r="17" spans="1:18" x14ac:dyDescent="0.25">
      <c r="A17" t="str">
        <f t="shared" si="0"/>
        <v>50100190012026M09</v>
      </c>
      <c r="B17">
        <v>51321001</v>
      </c>
      <c r="C17">
        <v>1</v>
      </c>
      <c r="D17">
        <v>50100</v>
      </c>
      <c r="E17">
        <v>19001</v>
      </c>
      <c r="F17" t="s">
        <v>115</v>
      </c>
      <c r="G17" t="s">
        <v>71</v>
      </c>
      <c r="H17">
        <v>27542.5</v>
      </c>
      <c r="I17">
        <v>27542.5</v>
      </c>
      <c r="J17">
        <v>0</v>
      </c>
      <c r="K17">
        <v>0</v>
      </c>
      <c r="L17">
        <v>0</v>
      </c>
      <c r="P17" s="758" t="s">
        <v>944</v>
      </c>
      <c r="Q17" t="s">
        <v>72</v>
      </c>
      <c r="R17">
        <v>10</v>
      </c>
    </row>
    <row r="18" spans="1:18" x14ac:dyDescent="0.25">
      <c r="A18" t="str">
        <f t="shared" si="0"/>
        <v>50100190012026M10</v>
      </c>
      <c r="B18">
        <v>51321001</v>
      </c>
      <c r="C18">
        <v>1</v>
      </c>
      <c r="D18">
        <v>50100</v>
      </c>
      <c r="E18">
        <v>19001</v>
      </c>
      <c r="F18" t="s">
        <v>115</v>
      </c>
      <c r="G18" t="s">
        <v>72</v>
      </c>
      <c r="H18">
        <v>27542.55</v>
      </c>
      <c r="I18">
        <v>0</v>
      </c>
      <c r="J18">
        <v>27542.55</v>
      </c>
      <c r="K18">
        <v>0</v>
      </c>
      <c r="L18">
        <v>0</v>
      </c>
      <c r="P18" s="758" t="s">
        <v>945</v>
      </c>
      <c r="Q18" t="s">
        <v>73</v>
      </c>
      <c r="R18">
        <v>11</v>
      </c>
    </row>
    <row r="19" spans="1:18" x14ac:dyDescent="0.25">
      <c r="A19" t="str">
        <f t="shared" si="0"/>
        <v>50100190012026M11</v>
      </c>
      <c r="B19">
        <v>51321001</v>
      </c>
      <c r="C19">
        <v>1</v>
      </c>
      <c r="D19">
        <v>50100</v>
      </c>
      <c r="E19">
        <v>19001</v>
      </c>
      <c r="F19" t="s">
        <v>115</v>
      </c>
      <c r="G19" t="s">
        <v>73</v>
      </c>
      <c r="H19">
        <v>27542.5</v>
      </c>
      <c r="I19">
        <v>0</v>
      </c>
      <c r="J19">
        <v>27542.5</v>
      </c>
      <c r="K19">
        <v>0</v>
      </c>
      <c r="L19">
        <v>0</v>
      </c>
      <c r="P19" s="758" t="s">
        <v>946</v>
      </c>
      <c r="Q19" t="s">
        <v>74</v>
      </c>
      <c r="R19">
        <v>12</v>
      </c>
    </row>
    <row r="20" spans="1:18" x14ac:dyDescent="0.25">
      <c r="A20" t="str">
        <f t="shared" si="0"/>
        <v>50100190012026M12</v>
      </c>
      <c r="B20">
        <v>51321001</v>
      </c>
      <c r="C20">
        <v>1</v>
      </c>
      <c r="D20">
        <v>50100</v>
      </c>
      <c r="E20">
        <v>19001</v>
      </c>
      <c r="F20" t="s">
        <v>115</v>
      </c>
      <c r="G20" t="s">
        <v>74</v>
      </c>
      <c r="H20">
        <v>55085</v>
      </c>
      <c r="I20">
        <v>0</v>
      </c>
      <c r="J20">
        <v>55085</v>
      </c>
      <c r="K20">
        <v>0</v>
      </c>
      <c r="L20">
        <v>0</v>
      </c>
    </row>
    <row r="21" spans="1:18" x14ac:dyDescent="0.25">
      <c r="A21" t="str">
        <f t="shared" si="0"/>
        <v>150100190012026M02</v>
      </c>
      <c r="B21">
        <v>51321001</v>
      </c>
      <c r="C21">
        <v>1</v>
      </c>
      <c r="D21">
        <v>150100</v>
      </c>
      <c r="E21">
        <v>19001</v>
      </c>
      <c r="F21" t="s">
        <v>115</v>
      </c>
      <c r="G21" t="s">
        <v>64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8" x14ac:dyDescent="0.25">
      <c r="A22" t="str">
        <f t="shared" si="0"/>
        <v>150100190012026M03</v>
      </c>
      <c r="B22">
        <v>51321001</v>
      </c>
      <c r="C22">
        <v>1</v>
      </c>
      <c r="D22">
        <v>150100</v>
      </c>
      <c r="E22">
        <v>19001</v>
      </c>
      <c r="F22" t="s">
        <v>115</v>
      </c>
      <c r="G22" t="s">
        <v>65</v>
      </c>
      <c r="H22">
        <v>1162778.04</v>
      </c>
      <c r="I22">
        <v>1162778.04</v>
      </c>
      <c r="J22">
        <v>0</v>
      </c>
      <c r="K22">
        <v>0</v>
      </c>
      <c r="L22">
        <v>0</v>
      </c>
    </row>
    <row r="23" spans="1:18" x14ac:dyDescent="0.25">
      <c r="A23" t="str">
        <f t="shared" si="0"/>
        <v>150100190012026M04</v>
      </c>
      <c r="B23">
        <v>51321001</v>
      </c>
      <c r="C23">
        <v>1</v>
      </c>
      <c r="D23">
        <v>150100</v>
      </c>
      <c r="E23">
        <v>19001</v>
      </c>
      <c r="F23" t="s">
        <v>115</v>
      </c>
      <c r="G23" t="s">
        <v>66</v>
      </c>
      <c r="H23">
        <v>860455.47</v>
      </c>
      <c r="I23">
        <v>860455.47</v>
      </c>
      <c r="J23">
        <v>0</v>
      </c>
      <c r="K23">
        <v>0</v>
      </c>
      <c r="L23">
        <v>0</v>
      </c>
    </row>
    <row r="24" spans="1:18" x14ac:dyDescent="0.25">
      <c r="A24" t="str">
        <f t="shared" si="0"/>
        <v>150100190012026M05</v>
      </c>
      <c r="B24">
        <v>51321001</v>
      </c>
      <c r="C24">
        <v>1</v>
      </c>
      <c r="D24">
        <v>150100</v>
      </c>
      <c r="E24">
        <v>19001</v>
      </c>
      <c r="F24" t="s">
        <v>115</v>
      </c>
      <c r="G24" t="s">
        <v>67</v>
      </c>
      <c r="H24">
        <v>674411.17</v>
      </c>
      <c r="I24">
        <v>674411.17</v>
      </c>
      <c r="J24">
        <v>0</v>
      </c>
      <c r="K24">
        <v>0</v>
      </c>
      <c r="L24">
        <v>0</v>
      </c>
      <c r="P24">
        <f>VLOOKUP('DF SUR_Calendario'!I10,AVANCE060826!Q8:R19,2,FALSE)</f>
        <v>2</v>
      </c>
    </row>
    <row r="25" spans="1:18" x14ac:dyDescent="0.25">
      <c r="A25" t="str">
        <f t="shared" si="0"/>
        <v>150100190012026M06</v>
      </c>
      <c r="B25">
        <v>51321001</v>
      </c>
      <c r="C25">
        <v>1</v>
      </c>
      <c r="D25">
        <v>150100</v>
      </c>
      <c r="E25">
        <v>19001</v>
      </c>
      <c r="F25" t="s">
        <v>115</v>
      </c>
      <c r="G25" t="s">
        <v>68</v>
      </c>
      <c r="H25">
        <v>674411.17</v>
      </c>
      <c r="I25">
        <v>674411.17</v>
      </c>
      <c r="J25">
        <v>0</v>
      </c>
      <c r="K25">
        <v>0</v>
      </c>
      <c r="L25">
        <v>0</v>
      </c>
    </row>
    <row r="26" spans="1:18" x14ac:dyDescent="0.25">
      <c r="A26" t="str">
        <f t="shared" si="0"/>
        <v>150100190012026M07</v>
      </c>
      <c r="B26">
        <v>51321001</v>
      </c>
      <c r="C26">
        <v>1</v>
      </c>
      <c r="D26">
        <v>150100</v>
      </c>
      <c r="E26">
        <v>19001</v>
      </c>
      <c r="F26" t="s">
        <v>115</v>
      </c>
      <c r="G26" t="s">
        <v>69</v>
      </c>
      <c r="H26">
        <v>674411.17</v>
      </c>
      <c r="I26">
        <v>674411.17</v>
      </c>
      <c r="J26">
        <v>0</v>
      </c>
      <c r="K26">
        <v>0</v>
      </c>
      <c r="L26">
        <v>0</v>
      </c>
    </row>
    <row r="27" spans="1:18" x14ac:dyDescent="0.25">
      <c r="A27" t="str">
        <f t="shared" si="0"/>
        <v>150100190012026M08</v>
      </c>
      <c r="B27">
        <v>51321001</v>
      </c>
      <c r="C27">
        <v>1</v>
      </c>
      <c r="D27">
        <v>150100</v>
      </c>
      <c r="E27">
        <v>19001</v>
      </c>
      <c r="F27" t="s">
        <v>115</v>
      </c>
      <c r="G27" t="s">
        <v>70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8" x14ac:dyDescent="0.25">
      <c r="A28" t="str">
        <f t="shared" si="0"/>
        <v>150100190012026M09</v>
      </c>
      <c r="B28">
        <v>51321001</v>
      </c>
      <c r="C28">
        <v>1</v>
      </c>
      <c r="D28">
        <v>150100</v>
      </c>
      <c r="E28">
        <v>19001</v>
      </c>
      <c r="F28" t="s">
        <v>115</v>
      </c>
      <c r="G28" t="s">
        <v>71</v>
      </c>
      <c r="H28">
        <v>1348822.34</v>
      </c>
      <c r="I28">
        <v>1348822.34</v>
      </c>
      <c r="J28">
        <v>0</v>
      </c>
      <c r="K28">
        <v>0</v>
      </c>
      <c r="L28">
        <v>0</v>
      </c>
      <c r="P28" s="759" t="s">
        <v>948</v>
      </c>
    </row>
    <row r="29" spans="1:18" x14ac:dyDescent="0.25">
      <c r="A29" t="str">
        <f t="shared" si="0"/>
        <v>150100190012026M10</v>
      </c>
      <c r="B29">
        <v>51321001</v>
      </c>
      <c r="C29">
        <v>1</v>
      </c>
      <c r="D29">
        <v>150100</v>
      </c>
      <c r="E29">
        <v>19001</v>
      </c>
      <c r="F29" t="s">
        <v>115</v>
      </c>
      <c r="G29" t="s">
        <v>72</v>
      </c>
      <c r="H29">
        <v>674418.64</v>
      </c>
      <c r="I29">
        <v>0</v>
      </c>
      <c r="J29">
        <v>674418.64</v>
      </c>
      <c r="K29">
        <v>0</v>
      </c>
      <c r="L29">
        <v>0</v>
      </c>
    </row>
    <row r="30" spans="1:18" x14ac:dyDescent="0.25">
      <c r="A30" t="str">
        <f t="shared" si="0"/>
        <v>150100190012026M11</v>
      </c>
      <c r="B30">
        <v>51321001</v>
      </c>
      <c r="C30">
        <v>1</v>
      </c>
      <c r="D30">
        <v>150100</v>
      </c>
      <c r="E30">
        <v>19001</v>
      </c>
      <c r="F30" t="s">
        <v>115</v>
      </c>
      <c r="G30" t="s">
        <v>73</v>
      </c>
      <c r="H30">
        <v>674412</v>
      </c>
      <c r="I30">
        <v>0</v>
      </c>
      <c r="J30">
        <v>674412</v>
      </c>
      <c r="K30">
        <v>0</v>
      </c>
      <c r="L30">
        <v>0</v>
      </c>
      <c r="P30" s="759" t="s">
        <v>949</v>
      </c>
    </row>
    <row r="31" spans="1:18" x14ac:dyDescent="0.25">
      <c r="A31" t="str">
        <f t="shared" si="0"/>
        <v>150100190012026M12</v>
      </c>
      <c r="B31">
        <v>51321001</v>
      </c>
      <c r="C31">
        <v>1</v>
      </c>
      <c r="D31">
        <v>150100</v>
      </c>
      <c r="E31">
        <v>19001</v>
      </c>
      <c r="F31" t="s">
        <v>115</v>
      </c>
      <c r="G31" t="s">
        <v>74</v>
      </c>
      <c r="H31">
        <v>1348818.36</v>
      </c>
      <c r="I31">
        <v>0</v>
      </c>
      <c r="J31">
        <v>1348818.36</v>
      </c>
      <c r="K31">
        <v>0</v>
      </c>
      <c r="L31">
        <v>0</v>
      </c>
    </row>
    <row r="32" spans="1:18" x14ac:dyDescent="0.25">
      <c r="A32" t="str">
        <f t="shared" si="0"/>
        <v>150904181012026M02</v>
      </c>
      <c r="B32">
        <v>51321001</v>
      </c>
      <c r="C32">
        <v>1</v>
      </c>
      <c r="D32">
        <v>150904</v>
      </c>
      <c r="E32">
        <v>18101</v>
      </c>
      <c r="F32" t="s">
        <v>115</v>
      </c>
      <c r="G32" t="s">
        <v>64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8" x14ac:dyDescent="0.25">
      <c r="A33" t="str">
        <f t="shared" si="0"/>
        <v>150904181012026M03</v>
      </c>
      <c r="B33">
        <v>51321001</v>
      </c>
      <c r="C33">
        <v>1</v>
      </c>
      <c r="D33">
        <v>150904</v>
      </c>
      <c r="E33">
        <v>18101</v>
      </c>
      <c r="F33" t="s">
        <v>115</v>
      </c>
      <c r="G33" t="s">
        <v>65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8" x14ac:dyDescent="0.25">
      <c r="A34" t="str">
        <f t="shared" si="0"/>
        <v>150904181012026M04</v>
      </c>
      <c r="B34">
        <v>51321001</v>
      </c>
      <c r="C34">
        <v>1</v>
      </c>
      <c r="D34">
        <v>150904</v>
      </c>
      <c r="E34">
        <v>18101</v>
      </c>
      <c r="F34" t="s">
        <v>115</v>
      </c>
      <c r="G34" t="s">
        <v>66</v>
      </c>
      <c r="H34">
        <v>0</v>
      </c>
      <c r="I34">
        <v>0</v>
      </c>
      <c r="J34">
        <v>0</v>
      </c>
      <c r="K34">
        <v>0</v>
      </c>
      <c r="L34">
        <v>0</v>
      </c>
      <c r="R34">
        <f>VLOOKUP(R2,Q8:S19,3,FALSE)</f>
        <v>0</v>
      </c>
    </row>
    <row r="35" spans="1:18" x14ac:dyDescent="0.25">
      <c r="A35" t="str">
        <f t="shared" si="0"/>
        <v>150904181012026M05</v>
      </c>
      <c r="B35">
        <v>51321001</v>
      </c>
      <c r="C35">
        <v>1</v>
      </c>
      <c r="D35">
        <v>150904</v>
      </c>
      <c r="E35">
        <v>18101</v>
      </c>
      <c r="F35" t="s">
        <v>115</v>
      </c>
      <c r="G35" t="s">
        <v>67</v>
      </c>
      <c r="H35">
        <v>260999.94</v>
      </c>
      <c r="I35">
        <v>260999.94</v>
      </c>
      <c r="J35">
        <v>0</v>
      </c>
      <c r="K35">
        <v>0</v>
      </c>
      <c r="L35">
        <v>0</v>
      </c>
    </row>
    <row r="36" spans="1:18" x14ac:dyDescent="0.25">
      <c r="A36" t="str">
        <f t="shared" si="0"/>
        <v>150904181012026M06</v>
      </c>
      <c r="B36">
        <v>51321001</v>
      </c>
      <c r="C36">
        <v>1</v>
      </c>
      <c r="D36">
        <v>150904</v>
      </c>
      <c r="E36">
        <v>18101</v>
      </c>
      <c r="F36" t="s">
        <v>115</v>
      </c>
      <c r="G36" t="s">
        <v>68</v>
      </c>
      <c r="H36">
        <v>173999.96</v>
      </c>
      <c r="I36">
        <v>173999.96</v>
      </c>
      <c r="J36">
        <v>0</v>
      </c>
      <c r="K36">
        <v>0</v>
      </c>
      <c r="L36">
        <v>0</v>
      </c>
    </row>
    <row r="37" spans="1:18" x14ac:dyDescent="0.25">
      <c r="A37" t="str">
        <f t="shared" si="0"/>
        <v>150904181012026M07</v>
      </c>
      <c r="B37">
        <v>51321001</v>
      </c>
      <c r="C37">
        <v>1</v>
      </c>
      <c r="D37">
        <v>150904</v>
      </c>
      <c r="E37">
        <v>18101</v>
      </c>
      <c r="F37" t="s">
        <v>115</v>
      </c>
      <c r="G37" t="s">
        <v>69</v>
      </c>
      <c r="H37">
        <v>86999.98</v>
      </c>
      <c r="I37">
        <v>86999.98</v>
      </c>
      <c r="J37">
        <v>0</v>
      </c>
      <c r="K37">
        <v>0</v>
      </c>
      <c r="L37">
        <v>0</v>
      </c>
    </row>
    <row r="38" spans="1:18" x14ac:dyDescent="0.25">
      <c r="A38" t="str">
        <f t="shared" si="0"/>
        <v>150904181012026M08</v>
      </c>
      <c r="B38">
        <v>51321001</v>
      </c>
      <c r="C38">
        <v>1</v>
      </c>
      <c r="D38">
        <v>150904</v>
      </c>
      <c r="E38">
        <v>18101</v>
      </c>
      <c r="F38" t="s">
        <v>115</v>
      </c>
      <c r="G38" t="s">
        <v>70</v>
      </c>
      <c r="H38">
        <v>86999.98</v>
      </c>
      <c r="I38">
        <v>86999.98</v>
      </c>
      <c r="J38">
        <v>0</v>
      </c>
      <c r="K38">
        <v>0</v>
      </c>
      <c r="L38">
        <v>0</v>
      </c>
    </row>
    <row r="39" spans="1:18" x14ac:dyDescent="0.25">
      <c r="A39" t="str">
        <f t="shared" si="0"/>
        <v>150904181012026M09</v>
      </c>
      <c r="B39">
        <v>51321001</v>
      </c>
      <c r="C39">
        <v>1</v>
      </c>
      <c r="D39">
        <v>150904</v>
      </c>
      <c r="E39">
        <v>18101</v>
      </c>
      <c r="F39" t="s">
        <v>115</v>
      </c>
      <c r="G39" t="s">
        <v>71</v>
      </c>
      <c r="H39">
        <v>86999.98</v>
      </c>
      <c r="I39">
        <v>86999.98</v>
      </c>
      <c r="J39">
        <v>0</v>
      </c>
      <c r="K39">
        <v>0</v>
      </c>
      <c r="L39">
        <v>0</v>
      </c>
    </row>
    <row r="40" spans="1:18" x14ac:dyDescent="0.25">
      <c r="A40" t="str">
        <f t="shared" si="0"/>
        <v>150904181012026M10</v>
      </c>
      <c r="B40">
        <v>51321001</v>
      </c>
      <c r="C40">
        <v>1</v>
      </c>
      <c r="D40">
        <v>150904</v>
      </c>
      <c r="E40">
        <v>18101</v>
      </c>
      <c r="F40" t="s">
        <v>115</v>
      </c>
      <c r="G40" t="s">
        <v>72</v>
      </c>
      <c r="H40">
        <v>87000.16</v>
      </c>
      <c r="I40">
        <v>0</v>
      </c>
      <c r="J40">
        <v>87000.16</v>
      </c>
      <c r="K40">
        <v>0</v>
      </c>
      <c r="L40">
        <v>0</v>
      </c>
    </row>
    <row r="41" spans="1:18" x14ac:dyDescent="0.25">
      <c r="A41" t="str">
        <f t="shared" si="0"/>
        <v>150904181012026M11</v>
      </c>
      <c r="B41">
        <v>51321001</v>
      </c>
      <c r="C41">
        <v>1</v>
      </c>
      <c r="D41">
        <v>150904</v>
      </c>
      <c r="E41">
        <v>18101</v>
      </c>
      <c r="F41" t="s">
        <v>115</v>
      </c>
      <c r="G41" t="s">
        <v>73</v>
      </c>
      <c r="H41">
        <v>87000</v>
      </c>
      <c r="I41">
        <v>0</v>
      </c>
      <c r="J41">
        <v>87000</v>
      </c>
      <c r="K41">
        <v>0</v>
      </c>
      <c r="L41">
        <v>0</v>
      </c>
    </row>
    <row r="42" spans="1:18" x14ac:dyDescent="0.25">
      <c r="A42" t="str">
        <f t="shared" si="0"/>
        <v>150904181012026M12</v>
      </c>
      <c r="B42">
        <v>51321001</v>
      </c>
      <c r="C42">
        <v>1</v>
      </c>
      <c r="D42">
        <v>150904</v>
      </c>
      <c r="E42">
        <v>18101</v>
      </c>
      <c r="F42" t="s">
        <v>115</v>
      </c>
      <c r="G42" t="s">
        <v>74</v>
      </c>
      <c r="H42">
        <v>174000</v>
      </c>
      <c r="I42">
        <v>0</v>
      </c>
      <c r="J42">
        <v>174000</v>
      </c>
      <c r="K42">
        <v>0</v>
      </c>
      <c r="L42">
        <v>0</v>
      </c>
    </row>
    <row r="43" spans="1:18" x14ac:dyDescent="0.25">
      <c r="A43" t="str">
        <f t="shared" si="0"/>
        <v>800201158012026M02</v>
      </c>
      <c r="B43">
        <v>51321001</v>
      </c>
      <c r="C43">
        <v>1</v>
      </c>
      <c r="D43">
        <v>800201</v>
      </c>
      <c r="E43">
        <v>15801</v>
      </c>
      <c r="F43" t="s">
        <v>115</v>
      </c>
      <c r="G43" t="s">
        <v>64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8" x14ac:dyDescent="0.25">
      <c r="A44" t="str">
        <f t="shared" si="0"/>
        <v>800201158012026M03</v>
      </c>
      <c r="B44">
        <v>51321001</v>
      </c>
      <c r="C44">
        <v>1</v>
      </c>
      <c r="D44">
        <v>800201</v>
      </c>
      <c r="E44">
        <v>15801</v>
      </c>
      <c r="F44" t="s">
        <v>115</v>
      </c>
      <c r="G44" t="s">
        <v>65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8" x14ac:dyDescent="0.25">
      <c r="A45" t="str">
        <f t="shared" si="0"/>
        <v>800201158012026M04</v>
      </c>
      <c r="B45">
        <v>51321001</v>
      </c>
      <c r="C45">
        <v>1</v>
      </c>
      <c r="D45">
        <v>800201</v>
      </c>
      <c r="E45">
        <v>15801</v>
      </c>
      <c r="F45" t="s">
        <v>115</v>
      </c>
      <c r="G45" t="s">
        <v>66</v>
      </c>
      <c r="H45">
        <v>203962.92</v>
      </c>
      <c r="I45">
        <v>203962.92</v>
      </c>
      <c r="J45">
        <v>0</v>
      </c>
      <c r="K45">
        <v>0</v>
      </c>
      <c r="L45">
        <v>0</v>
      </c>
    </row>
    <row r="46" spans="1:18" x14ac:dyDescent="0.25">
      <c r="A46" t="str">
        <f t="shared" si="0"/>
        <v>800201158012026M05</v>
      </c>
      <c r="B46">
        <v>51321001</v>
      </c>
      <c r="C46">
        <v>1</v>
      </c>
      <c r="D46">
        <v>800201</v>
      </c>
      <c r="E46">
        <v>15801</v>
      </c>
      <c r="F46" t="s">
        <v>115</v>
      </c>
      <c r="G46" t="s">
        <v>67</v>
      </c>
      <c r="H46">
        <v>67987.64</v>
      </c>
      <c r="I46">
        <v>67987.64</v>
      </c>
      <c r="J46">
        <v>0</v>
      </c>
      <c r="K46">
        <v>0</v>
      </c>
      <c r="L46">
        <v>0</v>
      </c>
    </row>
    <row r="47" spans="1:18" x14ac:dyDescent="0.25">
      <c r="A47" t="str">
        <f t="shared" si="0"/>
        <v>800201158012026M06</v>
      </c>
      <c r="B47">
        <v>51321001</v>
      </c>
      <c r="C47">
        <v>1</v>
      </c>
      <c r="D47">
        <v>800201</v>
      </c>
      <c r="E47">
        <v>15801</v>
      </c>
      <c r="F47" t="s">
        <v>115</v>
      </c>
      <c r="G47" t="s">
        <v>68</v>
      </c>
      <c r="H47">
        <v>67987.64</v>
      </c>
      <c r="I47">
        <v>67987.64</v>
      </c>
      <c r="J47">
        <v>0</v>
      </c>
      <c r="K47">
        <v>0</v>
      </c>
      <c r="L47">
        <v>0</v>
      </c>
    </row>
    <row r="48" spans="1:18" x14ac:dyDescent="0.25">
      <c r="A48" t="str">
        <f t="shared" si="0"/>
        <v>800201158012026M07</v>
      </c>
      <c r="B48">
        <v>51321001</v>
      </c>
      <c r="C48">
        <v>1</v>
      </c>
      <c r="D48">
        <v>800201</v>
      </c>
      <c r="E48">
        <v>15801</v>
      </c>
      <c r="F48" t="s">
        <v>115</v>
      </c>
      <c r="G48" t="s">
        <v>69</v>
      </c>
      <c r="H48">
        <v>67987.64</v>
      </c>
      <c r="I48">
        <v>67987.64</v>
      </c>
      <c r="J48">
        <v>0</v>
      </c>
      <c r="K48">
        <v>0</v>
      </c>
      <c r="L48">
        <v>0</v>
      </c>
    </row>
    <row r="49" spans="1:12" x14ac:dyDescent="0.25">
      <c r="A49" t="str">
        <f t="shared" si="0"/>
        <v>800201158012026M08</v>
      </c>
      <c r="B49">
        <v>51321001</v>
      </c>
      <c r="C49">
        <v>1</v>
      </c>
      <c r="D49">
        <v>800201</v>
      </c>
      <c r="E49">
        <v>15801</v>
      </c>
      <c r="F49" t="s">
        <v>115</v>
      </c>
      <c r="G49" t="s">
        <v>70</v>
      </c>
      <c r="H49">
        <v>67987.64</v>
      </c>
      <c r="I49">
        <v>67987.64</v>
      </c>
      <c r="J49">
        <v>0</v>
      </c>
      <c r="K49">
        <v>0</v>
      </c>
      <c r="L49">
        <v>0</v>
      </c>
    </row>
    <row r="50" spans="1:12" x14ac:dyDescent="0.25">
      <c r="A50" t="str">
        <f t="shared" si="0"/>
        <v>800201158012026M09</v>
      </c>
      <c r="B50">
        <v>51321001</v>
      </c>
      <c r="C50">
        <v>1</v>
      </c>
      <c r="D50">
        <v>800201</v>
      </c>
      <c r="E50">
        <v>15801</v>
      </c>
      <c r="F50" t="s">
        <v>115</v>
      </c>
      <c r="G50" t="s">
        <v>71</v>
      </c>
      <c r="H50">
        <v>67987.679999999993</v>
      </c>
      <c r="I50">
        <v>67987.679999999993</v>
      </c>
      <c r="J50">
        <v>0</v>
      </c>
      <c r="K50">
        <v>0</v>
      </c>
      <c r="L50">
        <v>0</v>
      </c>
    </row>
    <row r="51" spans="1:12" x14ac:dyDescent="0.25">
      <c r="A51" t="str">
        <f t="shared" si="0"/>
        <v>800201158012026M10</v>
      </c>
      <c r="B51">
        <v>51321001</v>
      </c>
      <c r="C51">
        <v>1</v>
      </c>
      <c r="D51">
        <v>800201</v>
      </c>
      <c r="E51">
        <v>15801</v>
      </c>
      <c r="F51" t="s">
        <v>115</v>
      </c>
      <c r="G51" t="s">
        <v>72</v>
      </c>
      <c r="H51">
        <v>67999.839999999997</v>
      </c>
      <c r="I51">
        <v>0</v>
      </c>
      <c r="J51">
        <v>67992.84</v>
      </c>
      <c r="K51">
        <v>0</v>
      </c>
      <c r="L51">
        <v>7</v>
      </c>
    </row>
    <row r="52" spans="1:12" x14ac:dyDescent="0.25">
      <c r="A52" t="str">
        <f t="shared" si="0"/>
        <v>800201158012026M11</v>
      </c>
      <c r="B52">
        <v>51321001</v>
      </c>
      <c r="C52">
        <v>1</v>
      </c>
      <c r="D52">
        <v>800201</v>
      </c>
      <c r="E52">
        <v>15801</v>
      </c>
      <c r="F52" t="s">
        <v>115</v>
      </c>
      <c r="G52" t="s">
        <v>73</v>
      </c>
      <c r="H52">
        <v>67989</v>
      </c>
      <c r="I52">
        <v>0</v>
      </c>
      <c r="J52">
        <v>67988</v>
      </c>
      <c r="K52">
        <v>0</v>
      </c>
      <c r="L52">
        <v>1</v>
      </c>
    </row>
    <row r="53" spans="1:12" x14ac:dyDescent="0.25">
      <c r="A53" t="str">
        <f t="shared" si="0"/>
        <v>800201158012026M12</v>
      </c>
      <c r="B53">
        <v>51321001</v>
      </c>
      <c r="C53">
        <v>1</v>
      </c>
      <c r="D53">
        <v>800201</v>
      </c>
      <c r="E53">
        <v>15801</v>
      </c>
      <c r="F53" t="s">
        <v>115</v>
      </c>
      <c r="G53" t="s">
        <v>74</v>
      </c>
      <c r="H53">
        <v>135969.20000000001</v>
      </c>
      <c r="I53">
        <v>0</v>
      </c>
      <c r="J53">
        <v>135969.20000000001</v>
      </c>
      <c r="K53">
        <v>0</v>
      </c>
      <c r="L53">
        <v>0</v>
      </c>
    </row>
    <row r="54" spans="1:12" x14ac:dyDescent="0.25">
      <c r="A54" t="str">
        <f t="shared" si="0"/>
        <v>900110191012026M02</v>
      </c>
      <c r="B54">
        <v>51321001</v>
      </c>
      <c r="C54">
        <v>1</v>
      </c>
      <c r="D54">
        <v>900110</v>
      </c>
      <c r="E54">
        <v>19101</v>
      </c>
      <c r="F54" t="s">
        <v>115</v>
      </c>
      <c r="G54" t="s">
        <v>64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 x14ac:dyDescent="0.25">
      <c r="A55" t="str">
        <f t="shared" si="0"/>
        <v>900110191012026M03</v>
      </c>
      <c r="B55">
        <v>51321001</v>
      </c>
      <c r="C55">
        <v>1</v>
      </c>
      <c r="D55">
        <v>900110</v>
      </c>
      <c r="E55">
        <v>19101</v>
      </c>
      <c r="F55" t="s">
        <v>115</v>
      </c>
      <c r="G55" t="s">
        <v>65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 t="str">
        <f t="shared" si="0"/>
        <v>900110191012026M04</v>
      </c>
      <c r="B56">
        <v>51321001</v>
      </c>
      <c r="C56">
        <v>1</v>
      </c>
      <c r="D56">
        <v>900110</v>
      </c>
      <c r="E56">
        <v>19101</v>
      </c>
      <c r="F56" t="s">
        <v>115</v>
      </c>
      <c r="G56" t="s">
        <v>66</v>
      </c>
      <c r="H56">
        <v>347070</v>
      </c>
      <c r="I56">
        <v>347070</v>
      </c>
      <c r="J56">
        <v>0</v>
      </c>
      <c r="K56">
        <v>0</v>
      </c>
      <c r="L56">
        <v>0</v>
      </c>
    </row>
    <row r="57" spans="1:12" x14ac:dyDescent="0.25">
      <c r="A57" t="str">
        <f t="shared" si="0"/>
        <v>900110191012026M05</v>
      </c>
      <c r="B57">
        <v>51321001</v>
      </c>
      <c r="C57">
        <v>1</v>
      </c>
      <c r="D57">
        <v>900110</v>
      </c>
      <c r="E57">
        <v>19101</v>
      </c>
      <c r="F57" t="s">
        <v>115</v>
      </c>
      <c r="G57" t="s">
        <v>67</v>
      </c>
      <c r="H57">
        <v>347070</v>
      </c>
      <c r="I57">
        <v>347070</v>
      </c>
      <c r="J57">
        <v>0</v>
      </c>
      <c r="K57">
        <v>0</v>
      </c>
      <c r="L57">
        <v>0</v>
      </c>
    </row>
    <row r="58" spans="1:12" x14ac:dyDescent="0.25">
      <c r="A58" t="str">
        <f t="shared" si="0"/>
        <v>900110191012026M06</v>
      </c>
      <c r="B58">
        <v>51321001</v>
      </c>
      <c r="C58">
        <v>1</v>
      </c>
      <c r="D58">
        <v>900110</v>
      </c>
      <c r="E58">
        <v>19101</v>
      </c>
      <c r="F58" t="s">
        <v>115</v>
      </c>
      <c r="G58" t="s">
        <v>68</v>
      </c>
      <c r="H58">
        <v>173535</v>
      </c>
      <c r="I58">
        <v>173535</v>
      </c>
      <c r="J58">
        <v>0</v>
      </c>
      <c r="K58">
        <v>0</v>
      </c>
      <c r="L58">
        <v>0</v>
      </c>
    </row>
    <row r="59" spans="1:12" x14ac:dyDescent="0.25">
      <c r="A59" t="str">
        <f t="shared" si="0"/>
        <v>900110191012026M07</v>
      </c>
      <c r="B59">
        <v>51321001</v>
      </c>
      <c r="C59">
        <v>1</v>
      </c>
      <c r="D59">
        <v>900110</v>
      </c>
      <c r="E59">
        <v>19101</v>
      </c>
      <c r="F59" t="s">
        <v>115</v>
      </c>
      <c r="G59" t="s">
        <v>69</v>
      </c>
      <c r="H59">
        <v>173535</v>
      </c>
      <c r="I59">
        <v>173535</v>
      </c>
      <c r="J59">
        <v>0</v>
      </c>
      <c r="K59">
        <v>0</v>
      </c>
      <c r="L59">
        <v>0</v>
      </c>
    </row>
    <row r="60" spans="1:12" x14ac:dyDescent="0.25">
      <c r="A60" t="str">
        <f t="shared" si="0"/>
        <v>900110191012026M08</v>
      </c>
      <c r="B60">
        <v>51321001</v>
      </c>
      <c r="C60">
        <v>1</v>
      </c>
      <c r="D60">
        <v>900110</v>
      </c>
      <c r="E60">
        <v>19101</v>
      </c>
      <c r="F60" t="s">
        <v>115</v>
      </c>
      <c r="G60" t="s">
        <v>70</v>
      </c>
      <c r="H60">
        <v>173535</v>
      </c>
      <c r="I60">
        <v>173535</v>
      </c>
      <c r="J60">
        <v>0</v>
      </c>
      <c r="K60">
        <v>0</v>
      </c>
      <c r="L60">
        <v>0</v>
      </c>
    </row>
    <row r="61" spans="1:12" x14ac:dyDescent="0.25">
      <c r="A61" t="str">
        <f t="shared" si="0"/>
        <v>900110191012026M09</v>
      </c>
      <c r="B61">
        <v>51321001</v>
      </c>
      <c r="C61">
        <v>1</v>
      </c>
      <c r="D61">
        <v>900110</v>
      </c>
      <c r="E61">
        <v>19101</v>
      </c>
      <c r="F61" t="s">
        <v>115</v>
      </c>
      <c r="G61" t="s">
        <v>71</v>
      </c>
      <c r="H61">
        <v>173535</v>
      </c>
      <c r="I61">
        <v>173535</v>
      </c>
      <c r="J61">
        <v>0</v>
      </c>
      <c r="K61">
        <v>0</v>
      </c>
      <c r="L61">
        <v>0</v>
      </c>
    </row>
    <row r="62" spans="1:12" x14ac:dyDescent="0.25">
      <c r="A62" t="str">
        <f t="shared" si="0"/>
        <v>900110191012026M10</v>
      </c>
      <c r="B62">
        <v>51321001</v>
      </c>
      <c r="C62">
        <v>1</v>
      </c>
      <c r="D62">
        <v>900110</v>
      </c>
      <c r="E62">
        <v>19101</v>
      </c>
      <c r="F62" t="s">
        <v>115</v>
      </c>
      <c r="G62" t="s">
        <v>72</v>
      </c>
      <c r="H62">
        <v>173544</v>
      </c>
      <c r="I62">
        <v>0</v>
      </c>
      <c r="J62">
        <v>173535</v>
      </c>
      <c r="K62">
        <v>0</v>
      </c>
      <c r="L62">
        <v>9</v>
      </c>
    </row>
    <row r="63" spans="1:12" x14ac:dyDescent="0.25">
      <c r="A63" t="str">
        <f t="shared" si="0"/>
        <v>900110191012026M11</v>
      </c>
      <c r="B63">
        <v>51321001</v>
      </c>
      <c r="C63">
        <v>1</v>
      </c>
      <c r="D63">
        <v>900110</v>
      </c>
      <c r="E63">
        <v>19101</v>
      </c>
      <c r="F63" t="s">
        <v>115</v>
      </c>
      <c r="G63" t="s">
        <v>73</v>
      </c>
      <c r="H63">
        <v>173536</v>
      </c>
      <c r="I63">
        <v>0</v>
      </c>
      <c r="J63">
        <v>173535</v>
      </c>
      <c r="K63">
        <v>0</v>
      </c>
      <c r="L63">
        <v>1</v>
      </c>
    </row>
    <row r="64" spans="1:12" x14ac:dyDescent="0.25">
      <c r="A64" t="str">
        <f t="shared" si="0"/>
        <v>900110191012026M12</v>
      </c>
      <c r="B64">
        <v>51321001</v>
      </c>
      <c r="C64">
        <v>1</v>
      </c>
      <c r="D64">
        <v>900110</v>
      </c>
      <c r="E64">
        <v>19101</v>
      </c>
      <c r="F64" t="s">
        <v>115</v>
      </c>
      <c r="G64" t="s">
        <v>74</v>
      </c>
      <c r="H64">
        <v>347070</v>
      </c>
      <c r="I64">
        <v>0</v>
      </c>
      <c r="J64">
        <v>347070</v>
      </c>
      <c r="K64">
        <v>0</v>
      </c>
      <c r="L64">
        <v>0</v>
      </c>
    </row>
    <row r="65" spans="1:12" x14ac:dyDescent="0.25">
      <c r="A65" t="str">
        <f t="shared" si="0"/>
        <v>900110191022026M02</v>
      </c>
      <c r="B65">
        <v>51321001</v>
      </c>
      <c r="C65">
        <v>1</v>
      </c>
      <c r="D65">
        <v>900110</v>
      </c>
      <c r="E65">
        <v>19102</v>
      </c>
      <c r="F65" t="s">
        <v>115</v>
      </c>
      <c r="G65" t="s">
        <v>64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 x14ac:dyDescent="0.25">
      <c r="A66" t="str">
        <f t="shared" si="0"/>
        <v>900110191022026M03</v>
      </c>
      <c r="B66">
        <v>51321001</v>
      </c>
      <c r="C66">
        <v>1</v>
      </c>
      <c r="D66">
        <v>900110</v>
      </c>
      <c r="E66">
        <v>19102</v>
      </c>
      <c r="F66" t="s">
        <v>115</v>
      </c>
      <c r="G66" t="s">
        <v>65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 t="str">
        <f t="shared" si="0"/>
        <v>900110191022026M04</v>
      </c>
      <c r="B67">
        <v>51321001</v>
      </c>
      <c r="C67">
        <v>1</v>
      </c>
      <c r="D67">
        <v>900110</v>
      </c>
      <c r="E67">
        <v>19102</v>
      </c>
      <c r="F67" t="s">
        <v>115</v>
      </c>
      <c r="G67" t="s">
        <v>66</v>
      </c>
      <c r="H67">
        <v>329314.32</v>
      </c>
      <c r="I67">
        <v>329314.32</v>
      </c>
      <c r="J67">
        <v>0</v>
      </c>
      <c r="K67">
        <v>0</v>
      </c>
      <c r="L67">
        <v>0</v>
      </c>
    </row>
    <row r="68" spans="1:12" x14ac:dyDescent="0.25">
      <c r="A68" t="str">
        <f t="shared" si="0"/>
        <v>900110191022026M05</v>
      </c>
      <c r="B68">
        <v>51321001</v>
      </c>
      <c r="C68">
        <v>1</v>
      </c>
      <c r="D68">
        <v>900110</v>
      </c>
      <c r="E68">
        <v>19102</v>
      </c>
      <c r="F68" t="s">
        <v>115</v>
      </c>
      <c r="G68" t="s">
        <v>67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 t="str">
        <f t="shared" si="0"/>
        <v>900110191022026M06</v>
      </c>
      <c r="B69">
        <v>51321001</v>
      </c>
      <c r="C69">
        <v>1</v>
      </c>
      <c r="D69">
        <v>900110</v>
      </c>
      <c r="E69">
        <v>19102</v>
      </c>
      <c r="F69" t="s">
        <v>115</v>
      </c>
      <c r="G69" t="s">
        <v>68</v>
      </c>
      <c r="H69">
        <v>219542.88</v>
      </c>
      <c r="I69">
        <v>219542.88</v>
      </c>
      <c r="J69">
        <v>0</v>
      </c>
      <c r="K69">
        <v>0</v>
      </c>
      <c r="L69">
        <v>0</v>
      </c>
    </row>
    <row r="70" spans="1:12" x14ac:dyDescent="0.25">
      <c r="A70" t="str">
        <f t="shared" si="0"/>
        <v>900110191022026M07</v>
      </c>
      <c r="B70">
        <v>51321001</v>
      </c>
      <c r="C70">
        <v>1</v>
      </c>
      <c r="D70">
        <v>900110</v>
      </c>
      <c r="E70">
        <v>19102</v>
      </c>
      <c r="F70" t="s">
        <v>115</v>
      </c>
      <c r="G70" t="s">
        <v>69</v>
      </c>
      <c r="H70">
        <v>109771.44</v>
      </c>
      <c r="I70">
        <v>109771.44</v>
      </c>
      <c r="J70">
        <v>0</v>
      </c>
      <c r="K70">
        <v>0</v>
      </c>
      <c r="L70">
        <v>0</v>
      </c>
    </row>
    <row r="71" spans="1:12" x14ac:dyDescent="0.25">
      <c r="A71" t="str">
        <f t="shared" si="0"/>
        <v>900110191022026M08</v>
      </c>
      <c r="B71">
        <v>51321001</v>
      </c>
      <c r="C71">
        <v>1</v>
      </c>
      <c r="D71">
        <v>900110</v>
      </c>
      <c r="E71">
        <v>19102</v>
      </c>
      <c r="F71" t="s">
        <v>115</v>
      </c>
      <c r="G71" t="s">
        <v>70</v>
      </c>
      <c r="H71">
        <v>109771.44</v>
      </c>
      <c r="I71">
        <v>109771.44</v>
      </c>
      <c r="J71">
        <v>0</v>
      </c>
      <c r="K71">
        <v>0</v>
      </c>
      <c r="L71">
        <v>0</v>
      </c>
    </row>
    <row r="72" spans="1:12" x14ac:dyDescent="0.25">
      <c r="A72" t="str">
        <f t="shared" si="0"/>
        <v>900110191022026M09</v>
      </c>
      <c r="B72">
        <v>51321001</v>
      </c>
      <c r="C72">
        <v>1</v>
      </c>
      <c r="D72">
        <v>900110</v>
      </c>
      <c r="E72">
        <v>19102</v>
      </c>
      <c r="F72" t="s">
        <v>115</v>
      </c>
      <c r="G72" t="s">
        <v>71</v>
      </c>
      <c r="H72">
        <v>109771.44</v>
      </c>
      <c r="I72">
        <v>109771.44</v>
      </c>
      <c r="J72">
        <v>0</v>
      </c>
      <c r="K72">
        <v>0</v>
      </c>
      <c r="L72">
        <v>0</v>
      </c>
    </row>
    <row r="73" spans="1:12" x14ac:dyDescent="0.25">
      <c r="A73" t="str">
        <f t="shared" si="0"/>
        <v>900110191022026M10</v>
      </c>
      <c r="B73">
        <v>51321001</v>
      </c>
      <c r="C73">
        <v>1</v>
      </c>
      <c r="D73">
        <v>900110</v>
      </c>
      <c r="E73">
        <v>19102</v>
      </c>
      <c r="F73" t="s">
        <v>115</v>
      </c>
      <c r="G73" t="s">
        <v>72</v>
      </c>
      <c r="H73">
        <v>109785.48</v>
      </c>
      <c r="I73">
        <v>0</v>
      </c>
      <c r="J73">
        <v>109785.48</v>
      </c>
      <c r="K73">
        <v>0</v>
      </c>
      <c r="L73">
        <v>0</v>
      </c>
    </row>
    <row r="74" spans="1:12" x14ac:dyDescent="0.25">
      <c r="A74" t="str">
        <f t="shared" si="0"/>
        <v>900110191022026M11</v>
      </c>
      <c r="B74">
        <v>51321001</v>
      </c>
      <c r="C74">
        <v>1</v>
      </c>
      <c r="D74">
        <v>900110</v>
      </c>
      <c r="E74">
        <v>19102</v>
      </c>
      <c r="F74" t="s">
        <v>115</v>
      </c>
      <c r="G74" t="s">
        <v>73</v>
      </c>
      <c r="H74">
        <v>109773</v>
      </c>
      <c r="I74">
        <v>0</v>
      </c>
      <c r="J74">
        <v>109773</v>
      </c>
      <c r="K74">
        <v>0</v>
      </c>
      <c r="L74">
        <v>0</v>
      </c>
    </row>
    <row r="75" spans="1:12" x14ac:dyDescent="0.25">
      <c r="A75" t="str">
        <f t="shared" ref="A75:A138" si="1">D75&amp;E75&amp;G75</f>
        <v>900110191022026M12</v>
      </c>
      <c r="B75">
        <v>51321001</v>
      </c>
      <c r="C75">
        <v>1</v>
      </c>
      <c r="D75">
        <v>900110</v>
      </c>
      <c r="E75">
        <v>19102</v>
      </c>
      <c r="F75" t="s">
        <v>115</v>
      </c>
      <c r="G75" t="s">
        <v>74</v>
      </c>
      <c r="H75">
        <v>219536.56</v>
      </c>
      <c r="I75">
        <v>0</v>
      </c>
      <c r="J75">
        <v>219526.56</v>
      </c>
      <c r="K75">
        <v>0</v>
      </c>
      <c r="L75">
        <v>10</v>
      </c>
    </row>
    <row r="76" spans="1:12" x14ac:dyDescent="0.25">
      <c r="A76" t="str">
        <f t="shared" si="1"/>
        <v>100902202012026M02</v>
      </c>
      <c r="B76">
        <v>51321001</v>
      </c>
      <c r="C76">
        <v>2</v>
      </c>
      <c r="D76">
        <v>100902</v>
      </c>
      <c r="E76">
        <v>20201</v>
      </c>
      <c r="F76" t="s">
        <v>115</v>
      </c>
      <c r="G76" t="s">
        <v>64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5">
      <c r="A77" t="str">
        <f t="shared" si="1"/>
        <v>100902202012026M03</v>
      </c>
      <c r="B77">
        <v>51321001</v>
      </c>
      <c r="C77">
        <v>2</v>
      </c>
      <c r="D77">
        <v>100902</v>
      </c>
      <c r="E77">
        <v>20201</v>
      </c>
      <c r="F77" t="s">
        <v>115</v>
      </c>
      <c r="G77" t="s">
        <v>65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 t="str">
        <f t="shared" si="1"/>
        <v>100902202012026M04</v>
      </c>
      <c r="B78">
        <v>51321001</v>
      </c>
      <c r="C78">
        <v>2</v>
      </c>
      <c r="D78">
        <v>100902</v>
      </c>
      <c r="E78">
        <v>20201</v>
      </c>
      <c r="F78" t="s">
        <v>115</v>
      </c>
      <c r="G78" t="s">
        <v>66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 t="str">
        <f t="shared" si="1"/>
        <v>100902202012026M05</v>
      </c>
      <c r="B79">
        <v>51321001</v>
      </c>
      <c r="C79">
        <v>2</v>
      </c>
      <c r="D79">
        <v>100902</v>
      </c>
      <c r="E79">
        <v>20201</v>
      </c>
      <c r="F79" t="s">
        <v>115</v>
      </c>
      <c r="G79" t="s">
        <v>67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5">
      <c r="A80" t="str">
        <f t="shared" si="1"/>
        <v>100902202012026M06</v>
      </c>
      <c r="B80">
        <v>51321001</v>
      </c>
      <c r="C80">
        <v>2</v>
      </c>
      <c r="D80">
        <v>100902</v>
      </c>
      <c r="E80">
        <v>20201</v>
      </c>
      <c r="F80" t="s">
        <v>115</v>
      </c>
      <c r="G80" t="s">
        <v>68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5">
      <c r="A81" t="str">
        <f t="shared" si="1"/>
        <v>100902202012026M07</v>
      </c>
      <c r="B81">
        <v>51321001</v>
      </c>
      <c r="C81">
        <v>2</v>
      </c>
      <c r="D81">
        <v>100902</v>
      </c>
      <c r="E81">
        <v>20201</v>
      </c>
      <c r="F81" t="s">
        <v>115</v>
      </c>
      <c r="G81" t="s">
        <v>69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25">
      <c r="A82" t="str">
        <f t="shared" si="1"/>
        <v>100902202012026M08</v>
      </c>
      <c r="B82">
        <v>51321001</v>
      </c>
      <c r="C82">
        <v>2</v>
      </c>
      <c r="D82">
        <v>100902</v>
      </c>
      <c r="E82">
        <v>20201</v>
      </c>
      <c r="F82" t="s">
        <v>115</v>
      </c>
      <c r="G82" t="s">
        <v>70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5">
      <c r="A83" t="str">
        <f t="shared" si="1"/>
        <v>100902202012026M09</v>
      </c>
      <c r="B83">
        <v>51321001</v>
      </c>
      <c r="C83">
        <v>2</v>
      </c>
      <c r="D83">
        <v>100902</v>
      </c>
      <c r="E83">
        <v>20201</v>
      </c>
      <c r="F83" t="s">
        <v>115</v>
      </c>
      <c r="G83" t="s">
        <v>71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 t="str">
        <f t="shared" si="1"/>
        <v>100902202012026M10</v>
      </c>
      <c r="B84">
        <v>51321001</v>
      </c>
      <c r="C84">
        <v>2</v>
      </c>
      <c r="D84">
        <v>100902</v>
      </c>
      <c r="E84">
        <v>20201</v>
      </c>
      <c r="F84" t="s">
        <v>115</v>
      </c>
      <c r="G84" t="s">
        <v>72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 t="str">
        <f t="shared" si="1"/>
        <v>100902202012026M11</v>
      </c>
      <c r="B85">
        <v>51321001</v>
      </c>
      <c r="C85">
        <v>2</v>
      </c>
      <c r="D85">
        <v>100902</v>
      </c>
      <c r="E85">
        <v>20201</v>
      </c>
      <c r="F85" t="s">
        <v>115</v>
      </c>
      <c r="G85" t="s">
        <v>73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 t="str">
        <f t="shared" si="1"/>
        <v>100902202012026M12</v>
      </c>
      <c r="B86">
        <v>51321001</v>
      </c>
      <c r="C86">
        <v>2</v>
      </c>
      <c r="D86">
        <v>100902</v>
      </c>
      <c r="E86">
        <v>20201</v>
      </c>
      <c r="F86" t="s">
        <v>115</v>
      </c>
      <c r="G86" t="s">
        <v>74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 t="str">
        <f t="shared" si="1"/>
        <v>140100290012026M02</v>
      </c>
      <c r="B87">
        <v>51321001</v>
      </c>
      <c r="C87">
        <v>2</v>
      </c>
      <c r="D87">
        <v>140100</v>
      </c>
      <c r="E87">
        <v>29001</v>
      </c>
      <c r="F87" t="s">
        <v>115</v>
      </c>
      <c r="G87" t="s">
        <v>64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5">
      <c r="A88" t="str">
        <f t="shared" si="1"/>
        <v>140100290012026M03</v>
      </c>
      <c r="B88">
        <v>51321001</v>
      </c>
      <c r="C88">
        <v>2</v>
      </c>
      <c r="D88">
        <v>140100</v>
      </c>
      <c r="E88">
        <v>29001</v>
      </c>
      <c r="F88" t="s">
        <v>115</v>
      </c>
      <c r="G88" t="s">
        <v>65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 t="str">
        <f t="shared" si="1"/>
        <v>140100290012026M04</v>
      </c>
      <c r="B89">
        <v>51321001</v>
      </c>
      <c r="C89">
        <v>2</v>
      </c>
      <c r="D89">
        <v>140100</v>
      </c>
      <c r="E89">
        <v>29001</v>
      </c>
      <c r="F89" t="s">
        <v>115</v>
      </c>
      <c r="G89" t="s">
        <v>66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 t="str">
        <f t="shared" si="1"/>
        <v>140100290012026M05</v>
      </c>
      <c r="B90">
        <v>51321001</v>
      </c>
      <c r="C90">
        <v>2</v>
      </c>
      <c r="D90">
        <v>140100</v>
      </c>
      <c r="E90">
        <v>29001</v>
      </c>
      <c r="F90" t="s">
        <v>115</v>
      </c>
      <c r="G90" t="s">
        <v>67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 t="str">
        <f t="shared" si="1"/>
        <v>140100290012026M06</v>
      </c>
      <c r="B91">
        <v>51321001</v>
      </c>
      <c r="C91">
        <v>2</v>
      </c>
      <c r="D91">
        <v>140100</v>
      </c>
      <c r="E91">
        <v>29001</v>
      </c>
      <c r="F91" t="s">
        <v>115</v>
      </c>
      <c r="G91" t="s">
        <v>68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 t="str">
        <f t="shared" si="1"/>
        <v>140100290012026M07</v>
      </c>
      <c r="B92">
        <v>51321001</v>
      </c>
      <c r="C92">
        <v>2</v>
      </c>
      <c r="D92">
        <v>140100</v>
      </c>
      <c r="E92">
        <v>29001</v>
      </c>
      <c r="F92" t="s">
        <v>115</v>
      </c>
      <c r="G92" t="s">
        <v>69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 t="str">
        <f t="shared" si="1"/>
        <v>140100290012026M08</v>
      </c>
      <c r="B93">
        <v>51321001</v>
      </c>
      <c r="C93">
        <v>2</v>
      </c>
      <c r="D93">
        <v>140100</v>
      </c>
      <c r="E93">
        <v>29001</v>
      </c>
      <c r="F93" t="s">
        <v>115</v>
      </c>
      <c r="G93" t="s">
        <v>70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5">
      <c r="A94" t="str">
        <f t="shared" si="1"/>
        <v>140100290012026M09</v>
      </c>
      <c r="B94">
        <v>51321001</v>
      </c>
      <c r="C94">
        <v>2</v>
      </c>
      <c r="D94">
        <v>140100</v>
      </c>
      <c r="E94">
        <v>29001</v>
      </c>
      <c r="F94" t="s">
        <v>115</v>
      </c>
      <c r="G94" t="s">
        <v>71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x14ac:dyDescent="0.25">
      <c r="A95" t="str">
        <f t="shared" si="1"/>
        <v>140100290012026M10</v>
      </c>
      <c r="B95">
        <v>51321001</v>
      </c>
      <c r="C95">
        <v>2</v>
      </c>
      <c r="D95">
        <v>140100</v>
      </c>
      <c r="E95">
        <v>29001</v>
      </c>
      <c r="F95" t="s">
        <v>115</v>
      </c>
      <c r="G95" t="s">
        <v>72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 t="str">
        <f t="shared" si="1"/>
        <v>140100290012026M11</v>
      </c>
      <c r="B96">
        <v>51321001</v>
      </c>
      <c r="C96">
        <v>2</v>
      </c>
      <c r="D96">
        <v>140100</v>
      </c>
      <c r="E96">
        <v>29001</v>
      </c>
      <c r="F96" t="s">
        <v>115</v>
      </c>
      <c r="G96" t="s">
        <v>73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5">
      <c r="A97" t="str">
        <f t="shared" si="1"/>
        <v>140100290012026M12</v>
      </c>
      <c r="B97">
        <v>51321001</v>
      </c>
      <c r="C97">
        <v>2</v>
      </c>
      <c r="D97">
        <v>140100</v>
      </c>
      <c r="E97">
        <v>29001</v>
      </c>
      <c r="F97" t="s">
        <v>115</v>
      </c>
      <c r="G97" t="s">
        <v>74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25">
      <c r="A98" t="str">
        <f t="shared" si="1"/>
        <v>900110291012026M02</v>
      </c>
      <c r="B98">
        <v>51321001</v>
      </c>
      <c r="C98">
        <v>2</v>
      </c>
      <c r="D98">
        <v>900110</v>
      </c>
      <c r="E98">
        <v>29101</v>
      </c>
      <c r="F98" t="s">
        <v>115</v>
      </c>
      <c r="G98" t="s">
        <v>64</v>
      </c>
      <c r="H98">
        <v>382800</v>
      </c>
      <c r="I98">
        <v>382800</v>
      </c>
      <c r="J98">
        <v>0</v>
      </c>
      <c r="K98">
        <v>0</v>
      </c>
      <c r="L98">
        <v>0</v>
      </c>
    </row>
    <row r="99" spans="1:12" x14ac:dyDescent="0.25">
      <c r="A99" t="str">
        <f t="shared" si="1"/>
        <v>900110291012026M03</v>
      </c>
      <c r="B99">
        <v>51321001</v>
      </c>
      <c r="C99">
        <v>2</v>
      </c>
      <c r="D99">
        <v>900110</v>
      </c>
      <c r="E99">
        <v>29101</v>
      </c>
      <c r="F99" t="s">
        <v>115</v>
      </c>
      <c r="G99" t="s">
        <v>65</v>
      </c>
      <c r="H99">
        <v>382800</v>
      </c>
      <c r="I99">
        <v>382800</v>
      </c>
      <c r="J99">
        <v>0</v>
      </c>
      <c r="K99">
        <v>0</v>
      </c>
      <c r="L99">
        <v>0</v>
      </c>
    </row>
    <row r="100" spans="1:12" x14ac:dyDescent="0.25">
      <c r="A100" t="str">
        <f t="shared" si="1"/>
        <v>900110291012026M04</v>
      </c>
      <c r="B100">
        <v>51321001</v>
      </c>
      <c r="C100">
        <v>2</v>
      </c>
      <c r="D100">
        <v>900110</v>
      </c>
      <c r="E100">
        <v>29101</v>
      </c>
      <c r="F100" t="s">
        <v>115</v>
      </c>
      <c r="G100" t="s">
        <v>66</v>
      </c>
      <c r="H100">
        <v>382800</v>
      </c>
      <c r="I100">
        <v>382800</v>
      </c>
      <c r="J100">
        <v>0</v>
      </c>
      <c r="K100">
        <v>0</v>
      </c>
      <c r="L100">
        <v>0</v>
      </c>
    </row>
    <row r="101" spans="1:12" x14ac:dyDescent="0.25">
      <c r="A101" t="str">
        <f t="shared" si="1"/>
        <v>900110291012026M05</v>
      </c>
      <c r="B101">
        <v>51321001</v>
      </c>
      <c r="C101">
        <v>2</v>
      </c>
      <c r="D101">
        <v>900110</v>
      </c>
      <c r="E101">
        <v>29101</v>
      </c>
      <c r="F101" t="s">
        <v>115</v>
      </c>
      <c r="G101" t="s">
        <v>67</v>
      </c>
      <c r="H101">
        <v>382800</v>
      </c>
      <c r="I101">
        <v>382800</v>
      </c>
      <c r="J101">
        <v>0</v>
      </c>
      <c r="K101">
        <v>0</v>
      </c>
      <c r="L101">
        <v>0</v>
      </c>
    </row>
    <row r="102" spans="1:12" x14ac:dyDescent="0.25">
      <c r="A102" t="str">
        <f t="shared" si="1"/>
        <v>900110291012026M06</v>
      </c>
      <c r="B102">
        <v>51321001</v>
      </c>
      <c r="C102">
        <v>2</v>
      </c>
      <c r="D102">
        <v>900110</v>
      </c>
      <c r="E102">
        <v>29101</v>
      </c>
      <c r="F102" t="s">
        <v>115</v>
      </c>
      <c r="G102" t="s">
        <v>68</v>
      </c>
      <c r="H102">
        <v>382800</v>
      </c>
      <c r="I102">
        <v>382800</v>
      </c>
      <c r="J102">
        <v>0</v>
      </c>
      <c r="K102">
        <v>0</v>
      </c>
      <c r="L102">
        <v>0</v>
      </c>
    </row>
    <row r="103" spans="1:12" x14ac:dyDescent="0.25">
      <c r="A103" t="str">
        <f t="shared" si="1"/>
        <v>900110291012026M07</v>
      </c>
      <c r="B103">
        <v>51321001</v>
      </c>
      <c r="C103">
        <v>2</v>
      </c>
      <c r="D103">
        <v>900110</v>
      </c>
      <c r="E103">
        <v>29101</v>
      </c>
      <c r="F103" t="s">
        <v>115</v>
      </c>
      <c r="G103" t="s">
        <v>69</v>
      </c>
      <c r="H103">
        <v>382800</v>
      </c>
      <c r="I103">
        <v>382800</v>
      </c>
      <c r="J103">
        <v>0</v>
      </c>
      <c r="K103">
        <v>0</v>
      </c>
      <c r="L103">
        <v>0</v>
      </c>
    </row>
    <row r="104" spans="1:12" x14ac:dyDescent="0.25">
      <c r="A104" t="str">
        <f t="shared" si="1"/>
        <v>900110291012026M08</v>
      </c>
      <c r="B104">
        <v>51321001</v>
      </c>
      <c r="C104">
        <v>2</v>
      </c>
      <c r="D104">
        <v>900110</v>
      </c>
      <c r="E104">
        <v>29101</v>
      </c>
      <c r="F104" t="s">
        <v>115</v>
      </c>
      <c r="G104" t="s">
        <v>70</v>
      </c>
      <c r="H104">
        <v>382800</v>
      </c>
      <c r="I104">
        <v>382800</v>
      </c>
      <c r="J104">
        <v>0</v>
      </c>
      <c r="K104">
        <v>0</v>
      </c>
      <c r="L104">
        <v>0</v>
      </c>
    </row>
    <row r="105" spans="1:12" x14ac:dyDescent="0.25">
      <c r="A105" t="str">
        <f t="shared" si="1"/>
        <v>900110291012026M09</v>
      </c>
      <c r="B105">
        <v>51321001</v>
      </c>
      <c r="C105">
        <v>2</v>
      </c>
      <c r="D105">
        <v>900110</v>
      </c>
      <c r="E105">
        <v>29101</v>
      </c>
      <c r="F105" t="s">
        <v>115</v>
      </c>
      <c r="G105" t="s">
        <v>71</v>
      </c>
      <c r="H105">
        <v>382800</v>
      </c>
      <c r="I105">
        <v>382800</v>
      </c>
      <c r="J105">
        <v>0</v>
      </c>
      <c r="K105">
        <v>0</v>
      </c>
      <c r="L105">
        <v>0</v>
      </c>
    </row>
    <row r="106" spans="1:12" x14ac:dyDescent="0.25">
      <c r="A106" t="str">
        <f t="shared" si="1"/>
        <v>900110291012026M10</v>
      </c>
      <c r="B106">
        <v>51321001</v>
      </c>
      <c r="C106">
        <v>2</v>
      </c>
      <c r="D106">
        <v>900110</v>
      </c>
      <c r="E106">
        <v>29101</v>
      </c>
      <c r="F106" t="s">
        <v>115</v>
      </c>
      <c r="G106" t="s">
        <v>72</v>
      </c>
      <c r="H106">
        <v>382800</v>
      </c>
      <c r="I106">
        <v>0</v>
      </c>
      <c r="J106">
        <v>382800</v>
      </c>
      <c r="K106">
        <v>0</v>
      </c>
      <c r="L106">
        <v>0</v>
      </c>
    </row>
    <row r="107" spans="1:12" x14ac:dyDescent="0.25">
      <c r="A107" t="str">
        <f t="shared" si="1"/>
        <v>900110291012026M11</v>
      </c>
      <c r="B107">
        <v>51321001</v>
      </c>
      <c r="C107">
        <v>2</v>
      </c>
      <c r="D107">
        <v>900110</v>
      </c>
      <c r="E107">
        <v>29101</v>
      </c>
      <c r="F107" t="s">
        <v>115</v>
      </c>
      <c r="G107" t="s">
        <v>73</v>
      </c>
      <c r="H107">
        <v>382800</v>
      </c>
      <c r="I107">
        <v>0</v>
      </c>
      <c r="J107">
        <v>382800</v>
      </c>
      <c r="K107">
        <v>0</v>
      </c>
      <c r="L107">
        <v>0</v>
      </c>
    </row>
    <row r="108" spans="1:12" x14ac:dyDescent="0.25">
      <c r="A108" t="str">
        <f t="shared" si="1"/>
        <v>900110291012026M12</v>
      </c>
      <c r="B108">
        <v>51321001</v>
      </c>
      <c r="C108">
        <v>2</v>
      </c>
      <c r="D108">
        <v>900110</v>
      </c>
      <c r="E108">
        <v>29101</v>
      </c>
      <c r="F108" t="s">
        <v>115</v>
      </c>
      <c r="G108" t="s">
        <v>74</v>
      </c>
      <c r="H108">
        <v>765600</v>
      </c>
      <c r="I108">
        <v>0</v>
      </c>
      <c r="J108">
        <v>765600</v>
      </c>
      <c r="K108">
        <v>0</v>
      </c>
      <c r="L108">
        <v>0</v>
      </c>
    </row>
    <row r="109" spans="1:12" x14ac:dyDescent="0.25">
      <c r="A109" t="str">
        <f t="shared" si="1"/>
        <v>150900380012026M02</v>
      </c>
      <c r="B109">
        <v>51321001</v>
      </c>
      <c r="C109">
        <v>3</v>
      </c>
      <c r="D109">
        <v>150900</v>
      </c>
      <c r="E109">
        <v>38001</v>
      </c>
      <c r="F109" t="s">
        <v>115</v>
      </c>
      <c r="G109" t="s">
        <v>64</v>
      </c>
      <c r="H109">
        <v>347999.82</v>
      </c>
      <c r="I109">
        <v>347999.82</v>
      </c>
      <c r="J109">
        <v>0</v>
      </c>
      <c r="K109">
        <v>0</v>
      </c>
      <c r="L109">
        <v>0</v>
      </c>
    </row>
    <row r="110" spans="1:12" x14ac:dyDescent="0.25">
      <c r="A110" t="str">
        <f t="shared" si="1"/>
        <v>150900380012026M03</v>
      </c>
      <c r="B110">
        <v>51321001</v>
      </c>
      <c r="C110">
        <v>3</v>
      </c>
      <c r="D110">
        <v>150900</v>
      </c>
      <c r="E110">
        <v>38001</v>
      </c>
      <c r="F110" t="s">
        <v>115</v>
      </c>
      <c r="G110" t="s">
        <v>65</v>
      </c>
      <c r="H110">
        <v>347999.82</v>
      </c>
      <c r="I110">
        <v>347999.82</v>
      </c>
      <c r="J110">
        <v>0</v>
      </c>
      <c r="K110">
        <v>0</v>
      </c>
      <c r="L110">
        <v>0</v>
      </c>
    </row>
    <row r="111" spans="1:12" x14ac:dyDescent="0.25">
      <c r="A111" t="str">
        <f t="shared" si="1"/>
        <v>150900380012026M04</v>
      </c>
      <c r="B111">
        <v>51321001</v>
      </c>
      <c r="C111">
        <v>3</v>
      </c>
      <c r="D111">
        <v>150900</v>
      </c>
      <c r="E111">
        <v>38001</v>
      </c>
      <c r="F111" t="s">
        <v>115</v>
      </c>
      <c r="G111" t="s">
        <v>66</v>
      </c>
      <c r="H111">
        <v>347999.82</v>
      </c>
      <c r="I111">
        <v>347999.82</v>
      </c>
      <c r="J111">
        <v>0</v>
      </c>
      <c r="K111">
        <v>0</v>
      </c>
      <c r="L111">
        <v>0</v>
      </c>
    </row>
    <row r="112" spans="1:12" x14ac:dyDescent="0.25">
      <c r="A112" t="str">
        <f t="shared" si="1"/>
        <v>150900380012026M05</v>
      </c>
      <c r="B112">
        <v>51321001</v>
      </c>
      <c r="C112">
        <v>3</v>
      </c>
      <c r="D112">
        <v>150900</v>
      </c>
      <c r="E112">
        <v>38001</v>
      </c>
      <c r="F112" t="s">
        <v>115</v>
      </c>
      <c r="G112" t="s">
        <v>67</v>
      </c>
      <c r="H112">
        <v>347999.82</v>
      </c>
      <c r="I112">
        <v>347999.82</v>
      </c>
      <c r="J112">
        <v>0</v>
      </c>
      <c r="K112">
        <v>0</v>
      </c>
      <c r="L112">
        <v>0</v>
      </c>
    </row>
    <row r="113" spans="1:12" x14ac:dyDescent="0.25">
      <c r="A113" t="str">
        <f t="shared" si="1"/>
        <v>150900380012026M06</v>
      </c>
      <c r="B113">
        <v>51321001</v>
      </c>
      <c r="C113">
        <v>3</v>
      </c>
      <c r="D113">
        <v>150900</v>
      </c>
      <c r="E113">
        <v>38001</v>
      </c>
      <c r="F113" t="s">
        <v>115</v>
      </c>
      <c r="G113" t="s">
        <v>68</v>
      </c>
      <c r="H113">
        <v>347999.82</v>
      </c>
      <c r="I113">
        <v>347999.82</v>
      </c>
      <c r="J113">
        <v>0</v>
      </c>
      <c r="K113">
        <v>0</v>
      </c>
      <c r="L113">
        <v>0</v>
      </c>
    </row>
    <row r="114" spans="1:12" x14ac:dyDescent="0.25">
      <c r="A114" t="str">
        <f t="shared" si="1"/>
        <v>150900380012026M07</v>
      </c>
      <c r="B114">
        <v>51321001</v>
      </c>
      <c r="C114">
        <v>3</v>
      </c>
      <c r="D114">
        <v>150900</v>
      </c>
      <c r="E114">
        <v>38001</v>
      </c>
      <c r="F114" t="s">
        <v>115</v>
      </c>
      <c r="G114" t="s">
        <v>69</v>
      </c>
      <c r="H114">
        <v>347999.82</v>
      </c>
      <c r="I114">
        <v>347999.82</v>
      </c>
      <c r="J114">
        <v>0</v>
      </c>
      <c r="K114">
        <v>0</v>
      </c>
      <c r="L114">
        <v>0</v>
      </c>
    </row>
    <row r="115" spans="1:12" x14ac:dyDescent="0.25">
      <c r="A115" t="str">
        <f t="shared" si="1"/>
        <v>150900380012026M08</v>
      </c>
      <c r="B115">
        <v>51321001</v>
      </c>
      <c r="C115">
        <v>3</v>
      </c>
      <c r="D115">
        <v>150900</v>
      </c>
      <c r="E115">
        <v>38001</v>
      </c>
      <c r="F115" t="s">
        <v>115</v>
      </c>
      <c r="G115" t="s">
        <v>70</v>
      </c>
      <c r="H115">
        <v>347999.82</v>
      </c>
      <c r="I115">
        <v>347999.82</v>
      </c>
      <c r="J115">
        <v>0</v>
      </c>
      <c r="K115">
        <v>0</v>
      </c>
      <c r="L115">
        <v>0</v>
      </c>
    </row>
    <row r="116" spans="1:12" x14ac:dyDescent="0.25">
      <c r="A116" t="str">
        <f t="shared" si="1"/>
        <v>150900380012026M09</v>
      </c>
      <c r="B116">
        <v>51321001</v>
      </c>
      <c r="C116">
        <v>3</v>
      </c>
      <c r="D116">
        <v>150900</v>
      </c>
      <c r="E116">
        <v>38001</v>
      </c>
      <c r="F116" t="s">
        <v>115</v>
      </c>
      <c r="G116" t="s">
        <v>71</v>
      </c>
      <c r="H116">
        <v>347999.82</v>
      </c>
      <c r="I116">
        <v>347999.82</v>
      </c>
      <c r="J116">
        <v>0</v>
      </c>
      <c r="K116">
        <v>0</v>
      </c>
      <c r="L116">
        <v>0</v>
      </c>
    </row>
    <row r="117" spans="1:12" x14ac:dyDescent="0.25">
      <c r="A117" t="str">
        <f t="shared" si="1"/>
        <v>150900380012026M10</v>
      </c>
      <c r="B117">
        <v>51321001</v>
      </c>
      <c r="C117">
        <v>3</v>
      </c>
      <c r="D117">
        <v>150900</v>
      </c>
      <c r="E117">
        <v>38001</v>
      </c>
      <c r="F117" t="s">
        <v>115</v>
      </c>
      <c r="G117" t="s">
        <v>72</v>
      </c>
      <c r="H117">
        <v>348001.44</v>
      </c>
      <c r="I117">
        <v>0</v>
      </c>
      <c r="J117">
        <v>348001.44</v>
      </c>
      <c r="K117">
        <v>0</v>
      </c>
      <c r="L117">
        <v>0</v>
      </c>
    </row>
    <row r="118" spans="1:12" x14ac:dyDescent="0.25">
      <c r="A118" t="str">
        <f t="shared" si="1"/>
        <v>150900380012026M11</v>
      </c>
      <c r="B118">
        <v>51321001</v>
      </c>
      <c r="C118">
        <v>3</v>
      </c>
      <c r="D118">
        <v>150900</v>
      </c>
      <c r="E118">
        <v>38001</v>
      </c>
      <c r="F118" t="s">
        <v>115</v>
      </c>
      <c r="G118" t="s">
        <v>73</v>
      </c>
      <c r="H118">
        <v>348000</v>
      </c>
      <c r="I118">
        <v>0</v>
      </c>
      <c r="J118">
        <v>348000</v>
      </c>
      <c r="K118">
        <v>0</v>
      </c>
      <c r="L118">
        <v>0</v>
      </c>
    </row>
    <row r="119" spans="1:12" x14ac:dyDescent="0.25">
      <c r="A119" t="str">
        <f t="shared" si="1"/>
        <v>150900380012026M12</v>
      </c>
      <c r="B119">
        <v>51321001</v>
      </c>
      <c r="C119">
        <v>3</v>
      </c>
      <c r="D119">
        <v>150900</v>
      </c>
      <c r="E119">
        <v>38001</v>
      </c>
      <c r="F119" t="s">
        <v>115</v>
      </c>
      <c r="G119" t="s">
        <v>74</v>
      </c>
      <c r="H119">
        <v>696000</v>
      </c>
      <c r="I119">
        <v>0</v>
      </c>
      <c r="J119">
        <v>696000</v>
      </c>
      <c r="K119">
        <v>0</v>
      </c>
      <c r="L119">
        <v>0</v>
      </c>
    </row>
    <row r="120" spans="1:12" x14ac:dyDescent="0.25">
      <c r="A120" t="str">
        <f t="shared" si="1"/>
        <v>200100390012026M02</v>
      </c>
      <c r="B120">
        <v>51321001</v>
      </c>
      <c r="C120">
        <v>3</v>
      </c>
      <c r="D120">
        <v>200100</v>
      </c>
      <c r="E120">
        <v>39001</v>
      </c>
      <c r="F120" t="s">
        <v>115</v>
      </c>
      <c r="G120" t="s">
        <v>64</v>
      </c>
      <c r="H120">
        <v>43226.79</v>
      </c>
      <c r="I120">
        <v>43226.79</v>
      </c>
      <c r="J120">
        <v>0</v>
      </c>
      <c r="K120">
        <v>0</v>
      </c>
      <c r="L120">
        <v>0</v>
      </c>
    </row>
    <row r="121" spans="1:12" x14ac:dyDescent="0.25">
      <c r="A121" t="str">
        <f t="shared" si="1"/>
        <v>200100390012026M03</v>
      </c>
      <c r="B121">
        <v>51321001</v>
      </c>
      <c r="C121">
        <v>3</v>
      </c>
      <c r="D121">
        <v>200100</v>
      </c>
      <c r="E121">
        <v>39001</v>
      </c>
      <c r="F121" t="s">
        <v>115</v>
      </c>
      <c r="G121" t="s">
        <v>65</v>
      </c>
      <c r="H121">
        <v>43226.79</v>
      </c>
      <c r="I121">
        <v>43226.79</v>
      </c>
      <c r="J121">
        <v>0</v>
      </c>
      <c r="K121">
        <v>0</v>
      </c>
      <c r="L121">
        <v>0</v>
      </c>
    </row>
    <row r="122" spans="1:12" x14ac:dyDescent="0.25">
      <c r="A122" t="str">
        <f t="shared" si="1"/>
        <v>200100390012026M04</v>
      </c>
      <c r="B122">
        <v>51321001</v>
      </c>
      <c r="C122">
        <v>3</v>
      </c>
      <c r="D122">
        <v>200100</v>
      </c>
      <c r="E122">
        <v>39001</v>
      </c>
      <c r="F122" t="s">
        <v>115</v>
      </c>
      <c r="G122" t="s">
        <v>66</v>
      </c>
      <c r="H122">
        <v>43226.79</v>
      </c>
      <c r="I122">
        <v>43226.79</v>
      </c>
      <c r="J122">
        <v>0</v>
      </c>
      <c r="K122">
        <v>0</v>
      </c>
      <c r="L122">
        <v>0</v>
      </c>
    </row>
    <row r="123" spans="1:12" x14ac:dyDescent="0.25">
      <c r="A123" t="str">
        <f t="shared" si="1"/>
        <v>200100390012026M05</v>
      </c>
      <c r="B123">
        <v>51321001</v>
      </c>
      <c r="C123">
        <v>3</v>
      </c>
      <c r="D123">
        <v>200100</v>
      </c>
      <c r="E123">
        <v>39001</v>
      </c>
      <c r="F123" t="s">
        <v>115</v>
      </c>
      <c r="G123" t="s">
        <v>67</v>
      </c>
      <c r="H123">
        <v>43226.84</v>
      </c>
      <c r="I123">
        <v>43226.84</v>
      </c>
      <c r="J123">
        <v>0</v>
      </c>
      <c r="K123">
        <v>0</v>
      </c>
      <c r="L123">
        <v>0</v>
      </c>
    </row>
    <row r="124" spans="1:12" x14ac:dyDescent="0.25">
      <c r="A124" t="str">
        <f t="shared" si="1"/>
        <v>200100390012026M06</v>
      </c>
      <c r="B124">
        <v>51321001</v>
      </c>
      <c r="C124">
        <v>3</v>
      </c>
      <c r="D124">
        <v>200100</v>
      </c>
      <c r="E124">
        <v>39001</v>
      </c>
      <c r="F124" t="s">
        <v>115</v>
      </c>
      <c r="G124" t="s">
        <v>68</v>
      </c>
      <c r="H124">
        <v>43226.79</v>
      </c>
      <c r="I124">
        <v>43226.79</v>
      </c>
      <c r="J124">
        <v>0</v>
      </c>
      <c r="K124">
        <v>0</v>
      </c>
      <c r="L124">
        <v>0</v>
      </c>
    </row>
    <row r="125" spans="1:12" x14ac:dyDescent="0.25">
      <c r="A125" t="str">
        <f t="shared" si="1"/>
        <v>200100390012026M07</v>
      </c>
      <c r="B125">
        <v>51321001</v>
      </c>
      <c r="C125">
        <v>3</v>
      </c>
      <c r="D125">
        <v>200100</v>
      </c>
      <c r="E125">
        <v>39001</v>
      </c>
      <c r="F125" t="s">
        <v>115</v>
      </c>
      <c r="G125" t="s">
        <v>69</v>
      </c>
      <c r="H125">
        <v>43226.79</v>
      </c>
      <c r="I125">
        <v>43226.79</v>
      </c>
      <c r="J125">
        <v>0</v>
      </c>
      <c r="K125">
        <v>0</v>
      </c>
      <c r="L125">
        <v>0</v>
      </c>
    </row>
    <row r="126" spans="1:12" x14ac:dyDescent="0.25">
      <c r="A126" t="str">
        <f t="shared" si="1"/>
        <v>200100390012026M08</v>
      </c>
      <c r="B126">
        <v>51321001</v>
      </c>
      <c r="C126">
        <v>3</v>
      </c>
      <c r="D126">
        <v>200100</v>
      </c>
      <c r="E126">
        <v>39001</v>
      </c>
      <c r="F126" t="s">
        <v>115</v>
      </c>
      <c r="G126" t="s">
        <v>70</v>
      </c>
      <c r="H126">
        <v>43226.79</v>
      </c>
      <c r="I126">
        <v>43226.79</v>
      </c>
      <c r="J126">
        <v>0</v>
      </c>
      <c r="K126">
        <v>0</v>
      </c>
      <c r="L126">
        <v>0</v>
      </c>
    </row>
    <row r="127" spans="1:12" x14ac:dyDescent="0.25">
      <c r="A127" t="str">
        <f t="shared" si="1"/>
        <v>200100390012026M09</v>
      </c>
      <c r="B127">
        <v>51321001</v>
      </c>
      <c r="C127">
        <v>3</v>
      </c>
      <c r="D127">
        <v>200100</v>
      </c>
      <c r="E127">
        <v>39001</v>
      </c>
      <c r="F127" t="s">
        <v>115</v>
      </c>
      <c r="G127" t="s">
        <v>71</v>
      </c>
      <c r="H127">
        <v>43226.79</v>
      </c>
      <c r="I127">
        <v>43226.79</v>
      </c>
      <c r="J127">
        <v>0</v>
      </c>
      <c r="K127">
        <v>0</v>
      </c>
      <c r="L127">
        <v>0</v>
      </c>
    </row>
    <row r="128" spans="1:12" x14ac:dyDescent="0.25">
      <c r="A128" t="str">
        <f t="shared" si="1"/>
        <v>200100390012026M10</v>
      </c>
      <c r="B128">
        <v>51321001</v>
      </c>
      <c r="C128">
        <v>3</v>
      </c>
      <c r="D128">
        <v>200100</v>
      </c>
      <c r="E128">
        <v>39001</v>
      </c>
      <c r="F128" t="s">
        <v>115</v>
      </c>
      <c r="G128" t="s">
        <v>72</v>
      </c>
      <c r="H128">
        <v>43228.63</v>
      </c>
      <c r="I128">
        <v>43226.79</v>
      </c>
      <c r="J128">
        <v>0.4</v>
      </c>
      <c r="K128">
        <v>0</v>
      </c>
      <c r="L128">
        <v>1.44</v>
      </c>
    </row>
    <row r="129" spans="1:12" x14ac:dyDescent="0.25">
      <c r="A129" t="str">
        <f t="shared" si="1"/>
        <v>200100390012026M11</v>
      </c>
      <c r="B129">
        <v>51321001</v>
      </c>
      <c r="C129">
        <v>3</v>
      </c>
      <c r="D129">
        <v>200100</v>
      </c>
      <c r="E129">
        <v>39001</v>
      </c>
      <c r="F129" t="s">
        <v>115</v>
      </c>
      <c r="G129" t="s">
        <v>73</v>
      </c>
      <c r="H129">
        <v>43227</v>
      </c>
      <c r="I129">
        <v>0</v>
      </c>
      <c r="J129">
        <v>43226.82</v>
      </c>
      <c r="K129">
        <v>0</v>
      </c>
      <c r="L129">
        <v>0.18</v>
      </c>
    </row>
    <row r="130" spans="1:12" x14ac:dyDescent="0.25">
      <c r="A130" t="str">
        <f t="shared" si="1"/>
        <v>200100390012026M12</v>
      </c>
      <c r="B130">
        <v>51321001</v>
      </c>
      <c r="C130">
        <v>3</v>
      </c>
      <c r="D130">
        <v>200100</v>
      </c>
      <c r="E130">
        <v>39001</v>
      </c>
      <c r="F130" t="s">
        <v>115</v>
      </c>
      <c r="G130" t="s">
        <v>74</v>
      </c>
      <c r="H130">
        <v>86454</v>
      </c>
      <c r="I130">
        <v>0</v>
      </c>
      <c r="J130">
        <v>86453.46</v>
      </c>
      <c r="K130">
        <v>0</v>
      </c>
      <c r="L130">
        <v>0.54</v>
      </c>
    </row>
    <row r="131" spans="1:12" x14ac:dyDescent="0.25">
      <c r="A131" t="str">
        <f t="shared" si="1"/>
        <v>900110391022026M02</v>
      </c>
      <c r="B131">
        <v>51321001</v>
      </c>
      <c r="C131">
        <v>3</v>
      </c>
      <c r="D131">
        <v>900110</v>
      </c>
      <c r="E131">
        <v>39102</v>
      </c>
      <c r="F131" t="s">
        <v>115</v>
      </c>
      <c r="G131" t="s">
        <v>64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 t="str">
        <f t="shared" si="1"/>
        <v>900110391022026M03</v>
      </c>
      <c r="B132">
        <v>51321001</v>
      </c>
      <c r="C132">
        <v>3</v>
      </c>
      <c r="D132">
        <v>900110</v>
      </c>
      <c r="E132">
        <v>39102</v>
      </c>
      <c r="F132" t="s">
        <v>115</v>
      </c>
      <c r="G132" t="s">
        <v>65</v>
      </c>
      <c r="H132">
        <v>57362.8</v>
      </c>
      <c r="I132">
        <v>57362.8</v>
      </c>
      <c r="J132">
        <v>0</v>
      </c>
      <c r="K132">
        <v>0</v>
      </c>
      <c r="L132">
        <v>0</v>
      </c>
    </row>
    <row r="133" spans="1:12" x14ac:dyDescent="0.25">
      <c r="A133" t="str">
        <f t="shared" si="1"/>
        <v>900110391022026M04</v>
      </c>
      <c r="B133">
        <v>51321001</v>
      </c>
      <c r="C133">
        <v>3</v>
      </c>
      <c r="D133">
        <v>900110</v>
      </c>
      <c r="E133">
        <v>39102</v>
      </c>
      <c r="F133" t="s">
        <v>115</v>
      </c>
      <c r="G133" t="s">
        <v>66</v>
      </c>
      <c r="H133">
        <v>28681.4</v>
      </c>
      <c r="I133">
        <v>28681.4</v>
      </c>
      <c r="J133">
        <v>0</v>
      </c>
      <c r="K133">
        <v>0</v>
      </c>
      <c r="L133">
        <v>0</v>
      </c>
    </row>
    <row r="134" spans="1:12" x14ac:dyDescent="0.25">
      <c r="A134" t="str">
        <f t="shared" si="1"/>
        <v>900110391022026M05</v>
      </c>
      <c r="B134">
        <v>51321001</v>
      </c>
      <c r="C134">
        <v>3</v>
      </c>
      <c r="D134">
        <v>900110</v>
      </c>
      <c r="E134">
        <v>39102</v>
      </c>
      <c r="F134" t="s">
        <v>115</v>
      </c>
      <c r="G134" t="s">
        <v>67</v>
      </c>
      <c r="H134">
        <v>28681.4</v>
      </c>
      <c r="I134">
        <v>28681.4</v>
      </c>
      <c r="J134">
        <v>0</v>
      </c>
      <c r="K134">
        <v>0</v>
      </c>
      <c r="L134">
        <v>0</v>
      </c>
    </row>
    <row r="135" spans="1:12" x14ac:dyDescent="0.25">
      <c r="A135" t="str">
        <f t="shared" si="1"/>
        <v>900110391022026M06</v>
      </c>
      <c r="B135">
        <v>51321001</v>
      </c>
      <c r="C135">
        <v>3</v>
      </c>
      <c r="D135">
        <v>900110</v>
      </c>
      <c r="E135">
        <v>39102</v>
      </c>
      <c r="F135" t="s">
        <v>115</v>
      </c>
      <c r="G135" t="s">
        <v>68</v>
      </c>
      <c r="H135">
        <v>28681.4</v>
      </c>
      <c r="I135">
        <v>28681.4</v>
      </c>
      <c r="J135">
        <v>0</v>
      </c>
      <c r="K135">
        <v>0</v>
      </c>
      <c r="L135">
        <v>0</v>
      </c>
    </row>
    <row r="136" spans="1:12" x14ac:dyDescent="0.25">
      <c r="A136" t="str">
        <f t="shared" si="1"/>
        <v>900110391022026M07</v>
      </c>
      <c r="B136">
        <v>51321001</v>
      </c>
      <c r="C136">
        <v>3</v>
      </c>
      <c r="D136">
        <v>900110</v>
      </c>
      <c r="E136">
        <v>39102</v>
      </c>
      <c r="F136" t="s">
        <v>115</v>
      </c>
      <c r="G136" t="s">
        <v>69</v>
      </c>
      <c r="H136">
        <v>28681.4</v>
      </c>
      <c r="I136">
        <v>28681.4</v>
      </c>
      <c r="J136">
        <v>0</v>
      </c>
      <c r="K136">
        <v>0</v>
      </c>
      <c r="L136">
        <v>0</v>
      </c>
    </row>
    <row r="137" spans="1:12" x14ac:dyDescent="0.25">
      <c r="A137" t="str">
        <f t="shared" si="1"/>
        <v>900110391022026M08</v>
      </c>
      <c r="B137">
        <v>51321001</v>
      </c>
      <c r="C137">
        <v>3</v>
      </c>
      <c r="D137">
        <v>900110</v>
      </c>
      <c r="E137">
        <v>39102</v>
      </c>
      <c r="F137" t="s">
        <v>115</v>
      </c>
      <c r="G137" t="s">
        <v>70</v>
      </c>
      <c r="H137">
        <v>28681.4</v>
      </c>
      <c r="I137">
        <v>28681.4</v>
      </c>
      <c r="J137">
        <v>0</v>
      </c>
      <c r="K137">
        <v>0</v>
      </c>
      <c r="L137">
        <v>0</v>
      </c>
    </row>
    <row r="138" spans="1:12" x14ac:dyDescent="0.25">
      <c r="A138" t="str">
        <f t="shared" si="1"/>
        <v>900110391022026M09</v>
      </c>
      <c r="B138">
        <v>51321001</v>
      </c>
      <c r="C138">
        <v>3</v>
      </c>
      <c r="D138">
        <v>900110</v>
      </c>
      <c r="E138">
        <v>39102</v>
      </c>
      <c r="F138" t="s">
        <v>115</v>
      </c>
      <c r="G138" t="s">
        <v>71</v>
      </c>
      <c r="H138">
        <v>28681.4</v>
      </c>
      <c r="I138">
        <v>28681.4</v>
      </c>
      <c r="J138">
        <v>0</v>
      </c>
      <c r="K138">
        <v>0</v>
      </c>
      <c r="L138">
        <v>0</v>
      </c>
    </row>
    <row r="139" spans="1:12" x14ac:dyDescent="0.25">
      <c r="A139" t="str">
        <f t="shared" ref="A139:A202" si="2">D139&amp;E139&amp;G139</f>
        <v>900110391022026M10</v>
      </c>
      <c r="B139">
        <v>51321001</v>
      </c>
      <c r="C139">
        <v>3</v>
      </c>
      <c r="D139">
        <v>900110</v>
      </c>
      <c r="E139">
        <v>39102</v>
      </c>
      <c r="F139" t="s">
        <v>115</v>
      </c>
      <c r="G139" t="s">
        <v>72</v>
      </c>
      <c r="H139">
        <v>28686.799999999999</v>
      </c>
      <c r="I139">
        <v>0</v>
      </c>
      <c r="J139">
        <v>28681.4</v>
      </c>
      <c r="K139">
        <v>0</v>
      </c>
      <c r="L139">
        <v>5.4</v>
      </c>
    </row>
    <row r="140" spans="1:12" x14ac:dyDescent="0.25">
      <c r="A140" t="str">
        <f t="shared" si="2"/>
        <v>900110391022026M11</v>
      </c>
      <c r="B140">
        <v>51321001</v>
      </c>
      <c r="C140">
        <v>3</v>
      </c>
      <c r="D140">
        <v>900110</v>
      </c>
      <c r="E140">
        <v>39102</v>
      </c>
      <c r="F140" t="s">
        <v>115</v>
      </c>
      <c r="G140" t="s">
        <v>73</v>
      </c>
      <c r="H140">
        <v>28682</v>
      </c>
      <c r="I140">
        <v>0</v>
      </c>
      <c r="J140">
        <v>28681.4</v>
      </c>
      <c r="K140">
        <v>0</v>
      </c>
      <c r="L140">
        <v>0.6</v>
      </c>
    </row>
    <row r="141" spans="1:12" x14ac:dyDescent="0.25">
      <c r="A141" t="str">
        <f t="shared" si="2"/>
        <v>900110391022026M12</v>
      </c>
      <c r="B141">
        <v>51321001</v>
      </c>
      <c r="C141">
        <v>3</v>
      </c>
      <c r="D141">
        <v>900110</v>
      </c>
      <c r="E141">
        <v>39102</v>
      </c>
      <c r="F141" t="s">
        <v>115</v>
      </c>
      <c r="G141" t="s">
        <v>74</v>
      </c>
      <c r="H141">
        <v>57362.8</v>
      </c>
      <c r="I141">
        <v>0</v>
      </c>
      <c r="J141">
        <v>57362.8</v>
      </c>
      <c r="K141">
        <v>0</v>
      </c>
      <c r="L141">
        <v>0</v>
      </c>
    </row>
    <row r="142" spans="1:12" x14ac:dyDescent="0.25">
      <c r="A142" t="str">
        <f t="shared" si="2"/>
        <v>900110391032026M02</v>
      </c>
      <c r="B142">
        <v>51321001</v>
      </c>
      <c r="C142">
        <v>3</v>
      </c>
      <c r="D142">
        <v>900110</v>
      </c>
      <c r="E142">
        <v>39103</v>
      </c>
      <c r="F142" t="s">
        <v>115</v>
      </c>
      <c r="G142" t="s">
        <v>64</v>
      </c>
      <c r="H142">
        <v>10440</v>
      </c>
      <c r="I142">
        <v>10440</v>
      </c>
      <c r="J142">
        <v>0</v>
      </c>
      <c r="K142">
        <v>0</v>
      </c>
      <c r="L142">
        <v>0</v>
      </c>
    </row>
    <row r="143" spans="1:12" x14ac:dyDescent="0.25">
      <c r="A143" t="str">
        <f t="shared" si="2"/>
        <v>900110391032026M03</v>
      </c>
      <c r="B143">
        <v>51321001</v>
      </c>
      <c r="C143">
        <v>3</v>
      </c>
      <c r="D143">
        <v>900110</v>
      </c>
      <c r="E143">
        <v>39103</v>
      </c>
      <c r="F143" t="s">
        <v>115</v>
      </c>
      <c r="G143" t="s">
        <v>65</v>
      </c>
      <c r="H143">
        <v>10440</v>
      </c>
      <c r="I143">
        <v>10440</v>
      </c>
      <c r="J143">
        <v>0</v>
      </c>
      <c r="K143">
        <v>0</v>
      </c>
      <c r="L143">
        <v>0</v>
      </c>
    </row>
    <row r="144" spans="1:12" x14ac:dyDescent="0.25">
      <c r="A144" t="str">
        <f t="shared" si="2"/>
        <v>900110391032026M04</v>
      </c>
      <c r="B144">
        <v>51321001</v>
      </c>
      <c r="C144">
        <v>3</v>
      </c>
      <c r="D144">
        <v>900110</v>
      </c>
      <c r="E144">
        <v>39103</v>
      </c>
      <c r="F144" t="s">
        <v>115</v>
      </c>
      <c r="G144" t="s">
        <v>66</v>
      </c>
      <c r="H144">
        <v>10440</v>
      </c>
      <c r="I144">
        <v>10440</v>
      </c>
      <c r="J144">
        <v>0</v>
      </c>
      <c r="K144">
        <v>0</v>
      </c>
      <c r="L144">
        <v>0</v>
      </c>
    </row>
    <row r="145" spans="1:12" x14ac:dyDescent="0.25">
      <c r="A145" t="str">
        <f t="shared" si="2"/>
        <v>900110391032026M05</v>
      </c>
      <c r="B145">
        <v>51321001</v>
      </c>
      <c r="C145">
        <v>3</v>
      </c>
      <c r="D145">
        <v>900110</v>
      </c>
      <c r="E145">
        <v>39103</v>
      </c>
      <c r="F145" t="s">
        <v>115</v>
      </c>
      <c r="G145" t="s">
        <v>67</v>
      </c>
      <c r="H145">
        <v>10440</v>
      </c>
      <c r="I145">
        <v>10440</v>
      </c>
      <c r="J145">
        <v>0</v>
      </c>
      <c r="K145">
        <v>0</v>
      </c>
      <c r="L145">
        <v>0</v>
      </c>
    </row>
    <row r="146" spans="1:12" x14ac:dyDescent="0.25">
      <c r="A146" t="str">
        <f t="shared" si="2"/>
        <v>900110391032026M06</v>
      </c>
      <c r="B146">
        <v>51321001</v>
      </c>
      <c r="C146">
        <v>3</v>
      </c>
      <c r="D146">
        <v>900110</v>
      </c>
      <c r="E146">
        <v>39103</v>
      </c>
      <c r="F146" t="s">
        <v>115</v>
      </c>
      <c r="G146" t="s">
        <v>68</v>
      </c>
      <c r="H146">
        <v>10440</v>
      </c>
      <c r="I146">
        <v>10440</v>
      </c>
      <c r="J146">
        <v>0</v>
      </c>
      <c r="K146">
        <v>0</v>
      </c>
      <c r="L146">
        <v>0</v>
      </c>
    </row>
    <row r="147" spans="1:12" x14ac:dyDescent="0.25">
      <c r="A147" t="str">
        <f t="shared" si="2"/>
        <v>900110391032026M07</v>
      </c>
      <c r="B147">
        <v>51321001</v>
      </c>
      <c r="C147">
        <v>3</v>
      </c>
      <c r="D147">
        <v>900110</v>
      </c>
      <c r="E147">
        <v>39103</v>
      </c>
      <c r="F147" t="s">
        <v>115</v>
      </c>
      <c r="G147" t="s">
        <v>69</v>
      </c>
      <c r="H147">
        <v>10440</v>
      </c>
      <c r="I147">
        <v>10440</v>
      </c>
      <c r="J147">
        <v>0</v>
      </c>
      <c r="K147">
        <v>0</v>
      </c>
      <c r="L147">
        <v>0</v>
      </c>
    </row>
    <row r="148" spans="1:12" x14ac:dyDescent="0.25">
      <c r="A148" t="str">
        <f t="shared" si="2"/>
        <v>900110391032026M08</v>
      </c>
      <c r="B148">
        <v>51321001</v>
      </c>
      <c r="C148">
        <v>3</v>
      </c>
      <c r="D148">
        <v>900110</v>
      </c>
      <c r="E148">
        <v>39103</v>
      </c>
      <c r="F148" t="s">
        <v>115</v>
      </c>
      <c r="G148" t="s">
        <v>70</v>
      </c>
      <c r="H148">
        <v>10440</v>
      </c>
      <c r="I148">
        <v>10440</v>
      </c>
      <c r="J148">
        <v>0</v>
      </c>
      <c r="K148">
        <v>0</v>
      </c>
      <c r="L148">
        <v>0</v>
      </c>
    </row>
    <row r="149" spans="1:12" x14ac:dyDescent="0.25">
      <c r="A149" t="str">
        <f t="shared" si="2"/>
        <v>900110391032026M09</v>
      </c>
      <c r="B149">
        <v>51321001</v>
      </c>
      <c r="C149">
        <v>3</v>
      </c>
      <c r="D149">
        <v>900110</v>
      </c>
      <c r="E149">
        <v>39103</v>
      </c>
      <c r="F149" t="s">
        <v>115</v>
      </c>
      <c r="G149" t="s">
        <v>71</v>
      </c>
      <c r="H149">
        <v>10440</v>
      </c>
      <c r="I149">
        <v>10440</v>
      </c>
      <c r="J149">
        <v>0</v>
      </c>
      <c r="K149">
        <v>0</v>
      </c>
      <c r="L149">
        <v>0</v>
      </c>
    </row>
    <row r="150" spans="1:12" x14ac:dyDescent="0.25">
      <c r="A150" t="str">
        <f t="shared" si="2"/>
        <v>900110391032026M10</v>
      </c>
      <c r="B150">
        <v>51321001</v>
      </c>
      <c r="C150">
        <v>3</v>
      </c>
      <c r="D150">
        <v>900110</v>
      </c>
      <c r="E150">
        <v>39103</v>
      </c>
      <c r="F150" t="s">
        <v>115</v>
      </c>
      <c r="G150" t="s">
        <v>72</v>
      </c>
      <c r="H150">
        <v>10440</v>
      </c>
      <c r="I150">
        <v>0</v>
      </c>
      <c r="J150">
        <v>10440</v>
      </c>
      <c r="K150">
        <v>0</v>
      </c>
      <c r="L150">
        <v>0</v>
      </c>
    </row>
    <row r="151" spans="1:12" x14ac:dyDescent="0.25">
      <c r="A151" t="str">
        <f t="shared" si="2"/>
        <v>900110391032026M11</v>
      </c>
      <c r="B151">
        <v>51321001</v>
      </c>
      <c r="C151">
        <v>3</v>
      </c>
      <c r="D151">
        <v>900110</v>
      </c>
      <c r="E151">
        <v>39103</v>
      </c>
      <c r="F151" t="s">
        <v>115</v>
      </c>
      <c r="G151" t="s">
        <v>73</v>
      </c>
      <c r="H151">
        <v>10440</v>
      </c>
      <c r="I151">
        <v>0</v>
      </c>
      <c r="J151">
        <v>10440</v>
      </c>
      <c r="K151">
        <v>0</v>
      </c>
      <c r="L151">
        <v>0</v>
      </c>
    </row>
    <row r="152" spans="1:12" x14ac:dyDescent="0.25">
      <c r="A152" t="str">
        <f t="shared" si="2"/>
        <v>900110391032026M12</v>
      </c>
      <c r="B152">
        <v>51321001</v>
      </c>
      <c r="C152">
        <v>3</v>
      </c>
      <c r="D152">
        <v>900110</v>
      </c>
      <c r="E152">
        <v>39103</v>
      </c>
      <c r="F152" t="s">
        <v>115</v>
      </c>
      <c r="G152" t="s">
        <v>74</v>
      </c>
      <c r="H152">
        <v>20880</v>
      </c>
      <c r="I152">
        <v>0</v>
      </c>
      <c r="J152">
        <v>20880</v>
      </c>
      <c r="K152">
        <v>0</v>
      </c>
      <c r="L152">
        <v>0</v>
      </c>
    </row>
    <row r="153" spans="1:12" x14ac:dyDescent="0.25">
      <c r="A153" t="str">
        <f t="shared" si="2"/>
        <v>920201380022026M02</v>
      </c>
      <c r="B153">
        <v>51321001</v>
      </c>
      <c r="C153">
        <v>3</v>
      </c>
      <c r="D153">
        <v>920201</v>
      </c>
      <c r="E153">
        <v>38002</v>
      </c>
      <c r="F153" t="s">
        <v>115</v>
      </c>
      <c r="G153" t="s">
        <v>64</v>
      </c>
      <c r="H153">
        <v>49719.26</v>
      </c>
      <c r="I153">
        <v>49719.26</v>
      </c>
      <c r="J153">
        <v>0</v>
      </c>
      <c r="K153">
        <v>0</v>
      </c>
      <c r="L153">
        <v>0</v>
      </c>
    </row>
    <row r="154" spans="1:12" x14ac:dyDescent="0.25">
      <c r="A154" t="str">
        <f t="shared" si="2"/>
        <v>920201380022026M03</v>
      </c>
      <c r="B154">
        <v>51321001</v>
      </c>
      <c r="C154">
        <v>3</v>
      </c>
      <c r="D154">
        <v>920201</v>
      </c>
      <c r="E154">
        <v>38002</v>
      </c>
      <c r="F154" t="s">
        <v>115</v>
      </c>
      <c r="G154" t="s">
        <v>65</v>
      </c>
      <c r="H154">
        <v>49719.26</v>
      </c>
      <c r="I154">
        <v>49719.26</v>
      </c>
      <c r="J154">
        <v>0</v>
      </c>
      <c r="K154">
        <v>0</v>
      </c>
      <c r="L154">
        <v>0</v>
      </c>
    </row>
    <row r="155" spans="1:12" x14ac:dyDescent="0.25">
      <c r="A155" t="str">
        <f t="shared" si="2"/>
        <v>920201380022026M04</v>
      </c>
      <c r="B155">
        <v>51321001</v>
      </c>
      <c r="C155">
        <v>3</v>
      </c>
      <c r="D155">
        <v>920201</v>
      </c>
      <c r="E155">
        <v>38002</v>
      </c>
      <c r="F155" t="s">
        <v>115</v>
      </c>
      <c r="G155" t="s">
        <v>66</v>
      </c>
      <c r="H155">
        <v>49719.26</v>
      </c>
      <c r="I155">
        <v>49719.26</v>
      </c>
      <c r="J155">
        <v>0</v>
      </c>
      <c r="K155">
        <v>0</v>
      </c>
      <c r="L155">
        <v>0</v>
      </c>
    </row>
    <row r="156" spans="1:12" x14ac:dyDescent="0.25">
      <c r="A156" t="str">
        <f t="shared" si="2"/>
        <v>920201380022026M05</v>
      </c>
      <c r="B156">
        <v>51321001</v>
      </c>
      <c r="C156">
        <v>3</v>
      </c>
      <c r="D156">
        <v>920201</v>
      </c>
      <c r="E156">
        <v>38002</v>
      </c>
      <c r="F156" t="s">
        <v>115</v>
      </c>
      <c r="G156" t="s">
        <v>67</v>
      </c>
      <c r="H156">
        <v>49719.26</v>
      </c>
      <c r="I156">
        <v>49719.26</v>
      </c>
      <c r="J156">
        <v>0</v>
      </c>
      <c r="K156">
        <v>0</v>
      </c>
      <c r="L156">
        <v>0</v>
      </c>
    </row>
    <row r="157" spans="1:12" x14ac:dyDescent="0.25">
      <c r="A157" t="str">
        <f t="shared" si="2"/>
        <v>920201380022026M06</v>
      </c>
      <c r="B157">
        <v>51321001</v>
      </c>
      <c r="C157">
        <v>3</v>
      </c>
      <c r="D157">
        <v>920201</v>
      </c>
      <c r="E157">
        <v>38002</v>
      </c>
      <c r="F157" t="s">
        <v>115</v>
      </c>
      <c r="G157" t="s">
        <v>68</v>
      </c>
      <c r="H157">
        <v>49719.26</v>
      </c>
      <c r="I157">
        <v>49719.26</v>
      </c>
      <c r="J157">
        <v>0</v>
      </c>
      <c r="K157">
        <v>0</v>
      </c>
      <c r="L157">
        <v>0</v>
      </c>
    </row>
    <row r="158" spans="1:12" x14ac:dyDescent="0.25">
      <c r="A158" t="str">
        <f t="shared" si="2"/>
        <v>920201380022026M07</v>
      </c>
      <c r="B158">
        <v>51321001</v>
      </c>
      <c r="C158">
        <v>3</v>
      </c>
      <c r="D158">
        <v>920201</v>
      </c>
      <c r="E158">
        <v>38002</v>
      </c>
      <c r="F158" t="s">
        <v>115</v>
      </c>
      <c r="G158" t="s">
        <v>69</v>
      </c>
      <c r="H158">
        <v>49719.26</v>
      </c>
      <c r="I158">
        <v>49719.26</v>
      </c>
      <c r="J158">
        <v>0</v>
      </c>
      <c r="K158">
        <v>0</v>
      </c>
      <c r="L158">
        <v>0</v>
      </c>
    </row>
    <row r="159" spans="1:12" x14ac:dyDescent="0.25">
      <c r="A159" t="str">
        <f t="shared" si="2"/>
        <v>920201380022026M08</v>
      </c>
      <c r="B159">
        <v>51321001</v>
      </c>
      <c r="C159">
        <v>3</v>
      </c>
      <c r="D159">
        <v>920201</v>
      </c>
      <c r="E159">
        <v>38002</v>
      </c>
      <c r="F159" t="s">
        <v>115</v>
      </c>
      <c r="G159" t="s">
        <v>70</v>
      </c>
      <c r="H159">
        <v>49719.26</v>
      </c>
      <c r="I159">
        <v>49719.26</v>
      </c>
      <c r="J159">
        <v>0</v>
      </c>
      <c r="K159">
        <v>0</v>
      </c>
      <c r="L159">
        <v>0</v>
      </c>
    </row>
    <row r="160" spans="1:12" x14ac:dyDescent="0.25">
      <c r="A160" t="str">
        <f t="shared" si="2"/>
        <v>920201380022026M09</v>
      </c>
      <c r="B160">
        <v>51321001</v>
      </c>
      <c r="C160">
        <v>3</v>
      </c>
      <c r="D160">
        <v>920201</v>
      </c>
      <c r="E160">
        <v>38002</v>
      </c>
      <c r="F160" t="s">
        <v>115</v>
      </c>
      <c r="G160" t="s">
        <v>71</v>
      </c>
      <c r="H160">
        <v>49719.26</v>
      </c>
      <c r="I160">
        <v>49719.26</v>
      </c>
      <c r="J160">
        <v>0</v>
      </c>
      <c r="K160">
        <v>0</v>
      </c>
      <c r="L160">
        <v>0</v>
      </c>
    </row>
    <row r="161" spans="1:12" x14ac:dyDescent="0.25">
      <c r="A161" t="str">
        <f t="shared" si="2"/>
        <v>920201380022026M10</v>
      </c>
      <c r="B161">
        <v>51321001</v>
      </c>
      <c r="C161">
        <v>3</v>
      </c>
      <c r="D161">
        <v>920201</v>
      </c>
      <c r="E161">
        <v>38002</v>
      </c>
      <c r="F161" t="s">
        <v>115</v>
      </c>
      <c r="G161" t="s">
        <v>72</v>
      </c>
      <c r="H161">
        <v>49725.919999999998</v>
      </c>
      <c r="I161">
        <v>49719.26</v>
      </c>
      <c r="J161">
        <v>1.26</v>
      </c>
      <c r="K161">
        <v>0</v>
      </c>
      <c r="L161">
        <v>5.4</v>
      </c>
    </row>
    <row r="162" spans="1:12" x14ac:dyDescent="0.25">
      <c r="A162" t="str">
        <f t="shared" si="2"/>
        <v>920201380022026M11</v>
      </c>
      <c r="B162">
        <v>51321001</v>
      </c>
      <c r="C162">
        <v>3</v>
      </c>
      <c r="D162">
        <v>920201</v>
      </c>
      <c r="E162">
        <v>38002</v>
      </c>
      <c r="F162" t="s">
        <v>115</v>
      </c>
      <c r="G162" t="s">
        <v>73</v>
      </c>
      <c r="H162">
        <v>49720</v>
      </c>
      <c r="I162">
        <v>0</v>
      </c>
      <c r="J162">
        <v>49719.4</v>
      </c>
      <c r="K162">
        <v>0</v>
      </c>
      <c r="L162">
        <v>0.6</v>
      </c>
    </row>
    <row r="163" spans="1:12" x14ac:dyDescent="0.25">
      <c r="A163" t="str">
        <f t="shared" si="2"/>
        <v>920201380022026M12</v>
      </c>
      <c r="B163">
        <v>51321001</v>
      </c>
      <c r="C163">
        <v>3</v>
      </c>
      <c r="D163">
        <v>920201</v>
      </c>
      <c r="E163">
        <v>38002</v>
      </c>
      <c r="F163" t="s">
        <v>115</v>
      </c>
      <c r="G163" t="s">
        <v>74</v>
      </c>
      <c r="H163">
        <v>99438.8</v>
      </c>
      <c r="I163">
        <v>0</v>
      </c>
      <c r="J163">
        <v>99438.8</v>
      </c>
      <c r="K163">
        <v>0</v>
      </c>
      <c r="L163">
        <v>0</v>
      </c>
    </row>
    <row r="164" spans="1:12" x14ac:dyDescent="0.25">
      <c r="A164" t="str">
        <f t="shared" si="2"/>
        <v>50100490012026M02</v>
      </c>
      <c r="B164">
        <v>51321001</v>
      </c>
      <c r="C164">
        <v>4</v>
      </c>
      <c r="D164">
        <v>50100</v>
      </c>
      <c r="E164">
        <v>49001</v>
      </c>
      <c r="F164" t="s">
        <v>115</v>
      </c>
      <c r="G164" t="s">
        <v>64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25">
      <c r="A165" t="str">
        <f t="shared" si="2"/>
        <v>50100490012026M03</v>
      </c>
      <c r="B165">
        <v>51321001</v>
      </c>
      <c r="C165">
        <v>4</v>
      </c>
      <c r="D165">
        <v>50100</v>
      </c>
      <c r="E165">
        <v>49001</v>
      </c>
      <c r="F165" t="s">
        <v>115</v>
      </c>
      <c r="G165" t="s">
        <v>65</v>
      </c>
      <c r="H165">
        <v>26000</v>
      </c>
      <c r="I165">
        <v>26000</v>
      </c>
      <c r="J165">
        <v>0</v>
      </c>
      <c r="K165">
        <v>0</v>
      </c>
      <c r="L165">
        <v>0</v>
      </c>
    </row>
    <row r="166" spans="1:12" x14ac:dyDescent="0.25">
      <c r="A166" t="str">
        <f t="shared" si="2"/>
        <v>50100490012026M04</v>
      </c>
      <c r="B166">
        <v>51321001</v>
      </c>
      <c r="C166">
        <v>4</v>
      </c>
      <c r="D166">
        <v>50100</v>
      </c>
      <c r="E166">
        <v>49001</v>
      </c>
      <c r="F166" t="s">
        <v>115</v>
      </c>
      <c r="G166" t="s">
        <v>66</v>
      </c>
      <c r="H166">
        <v>13000</v>
      </c>
      <c r="I166">
        <v>13000</v>
      </c>
      <c r="J166">
        <v>0</v>
      </c>
      <c r="K166">
        <v>0</v>
      </c>
      <c r="L166">
        <v>0</v>
      </c>
    </row>
    <row r="167" spans="1:12" x14ac:dyDescent="0.25">
      <c r="A167" t="str">
        <f t="shared" si="2"/>
        <v>50100490012026M05</v>
      </c>
      <c r="B167">
        <v>51321001</v>
      </c>
      <c r="C167">
        <v>4</v>
      </c>
      <c r="D167">
        <v>50100</v>
      </c>
      <c r="E167">
        <v>49001</v>
      </c>
      <c r="F167" t="s">
        <v>115</v>
      </c>
      <c r="G167" t="s">
        <v>67</v>
      </c>
      <c r="H167">
        <v>13000</v>
      </c>
      <c r="I167">
        <v>13000</v>
      </c>
      <c r="J167">
        <v>0</v>
      </c>
      <c r="K167">
        <v>0</v>
      </c>
      <c r="L167">
        <v>0</v>
      </c>
    </row>
    <row r="168" spans="1:12" x14ac:dyDescent="0.25">
      <c r="A168" t="str">
        <f t="shared" si="2"/>
        <v>50100490012026M06</v>
      </c>
      <c r="B168">
        <v>51321001</v>
      </c>
      <c r="C168">
        <v>4</v>
      </c>
      <c r="D168">
        <v>50100</v>
      </c>
      <c r="E168">
        <v>49001</v>
      </c>
      <c r="F168" t="s">
        <v>115</v>
      </c>
      <c r="G168" t="s">
        <v>68</v>
      </c>
      <c r="H168">
        <v>13000</v>
      </c>
      <c r="I168">
        <v>13000</v>
      </c>
      <c r="J168">
        <v>0</v>
      </c>
      <c r="K168">
        <v>0</v>
      </c>
      <c r="L168">
        <v>0</v>
      </c>
    </row>
    <row r="169" spans="1:12" x14ac:dyDescent="0.25">
      <c r="A169" t="str">
        <f t="shared" si="2"/>
        <v>50100490012026M07</v>
      </c>
      <c r="B169">
        <v>51321001</v>
      </c>
      <c r="C169">
        <v>4</v>
      </c>
      <c r="D169">
        <v>50100</v>
      </c>
      <c r="E169">
        <v>49001</v>
      </c>
      <c r="F169" t="s">
        <v>115</v>
      </c>
      <c r="G169" t="s">
        <v>69</v>
      </c>
      <c r="H169">
        <v>13000</v>
      </c>
      <c r="I169">
        <v>13000</v>
      </c>
      <c r="J169">
        <v>0</v>
      </c>
      <c r="K169">
        <v>0</v>
      </c>
      <c r="L169">
        <v>0</v>
      </c>
    </row>
    <row r="170" spans="1:12" x14ac:dyDescent="0.25">
      <c r="A170" t="str">
        <f t="shared" si="2"/>
        <v>50100490012026M08</v>
      </c>
      <c r="B170">
        <v>51321001</v>
      </c>
      <c r="C170">
        <v>4</v>
      </c>
      <c r="D170">
        <v>50100</v>
      </c>
      <c r="E170">
        <v>49001</v>
      </c>
      <c r="F170" t="s">
        <v>115</v>
      </c>
      <c r="G170" t="s">
        <v>70</v>
      </c>
      <c r="H170">
        <v>13000</v>
      </c>
      <c r="I170">
        <v>13000</v>
      </c>
      <c r="J170">
        <v>0</v>
      </c>
      <c r="K170">
        <v>0</v>
      </c>
      <c r="L170">
        <v>0</v>
      </c>
    </row>
    <row r="171" spans="1:12" x14ac:dyDescent="0.25">
      <c r="A171" t="str">
        <f t="shared" si="2"/>
        <v>50100490012026M09</v>
      </c>
      <c r="B171">
        <v>51321001</v>
      </c>
      <c r="C171">
        <v>4</v>
      </c>
      <c r="D171">
        <v>50100</v>
      </c>
      <c r="E171">
        <v>49001</v>
      </c>
      <c r="F171" t="s">
        <v>115</v>
      </c>
      <c r="G171" t="s">
        <v>71</v>
      </c>
      <c r="H171">
        <v>13000</v>
      </c>
      <c r="I171">
        <v>13000</v>
      </c>
      <c r="J171">
        <v>0</v>
      </c>
      <c r="K171">
        <v>0</v>
      </c>
      <c r="L171">
        <v>0</v>
      </c>
    </row>
    <row r="172" spans="1:12" x14ac:dyDescent="0.25">
      <c r="A172" t="str">
        <f t="shared" si="2"/>
        <v>50100490012026M10</v>
      </c>
      <c r="B172">
        <v>51321001</v>
      </c>
      <c r="C172">
        <v>4</v>
      </c>
      <c r="D172">
        <v>50100</v>
      </c>
      <c r="E172">
        <v>49001</v>
      </c>
      <c r="F172" t="s">
        <v>115</v>
      </c>
      <c r="G172" t="s">
        <v>72</v>
      </c>
      <c r="H172">
        <v>14820</v>
      </c>
      <c r="I172">
        <v>0</v>
      </c>
      <c r="J172">
        <v>14820</v>
      </c>
      <c r="K172">
        <v>0</v>
      </c>
      <c r="L172">
        <v>0</v>
      </c>
    </row>
    <row r="173" spans="1:12" x14ac:dyDescent="0.25">
      <c r="A173" t="str">
        <f t="shared" si="2"/>
        <v>50100490012026M11</v>
      </c>
      <c r="B173">
        <v>51321001</v>
      </c>
      <c r="C173">
        <v>4</v>
      </c>
      <c r="D173">
        <v>50100</v>
      </c>
      <c r="E173">
        <v>49001</v>
      </c>
      <c r="F173" t="s">
        <v>115</v>
      </c>
      <c r="G173" t="s">
        <v>73</v>
      </c>
      <c r="H173">
        <v>13910</v>
      </c>
      <c r="I173">
        <v>0</v>
      </c>
      <c r="J173">
        <v>13910</v>
      </c>
      <c r="K173">
        <v>0</v>
      </c>
      <c r="L173">
        <v>0</v>
      </c>
    </row>
    <row r="174" spans="1:12" x14ac:dyDescent="0.25">
      <c r="A174" t="str">
        <f t="shared" si="2"/>
        <v>50100490012026M12</v>
      </c>
      <c r="B174">
        <v>51321001</v>
      </c>
      <c r="C174">
        <v>4</v>
      </c>
      <c r="D174">
        <v>50100</v>
      </c>
      <c r="E174">
        <v>49001</v>
      </c>
      <c r="F174" t="s">
        <v>115</v>
      </c>
      <c r="G174" t="s">
        <v>74</v>
      </c>
      <c r="H174">
        <v>27820</v>
      </c>
      <c r="I174">
        <v>0</v>
      </c>
      <c r="J174">
        <v>27820</v>
      </c>
      <c r="K174">
        <v>0</v>
      </c>
      <c r="L174">
        <v>0</v>
      </c>
    </row>
    <row r="175" spans="1:12" x14ac:dyDescent="0.25">
      <c r="A175" t="str">
        <f t="shared" si="2"/>
        <v>140100490012026M03</v>
      </c>
      <c r="B175">
        <v>51321001</v>
      </c>
      <c r="C175">
        <v>4</v>
      </c>
      <c r="D175">
        <v>140100</v>
      </c>
      <c r="E175">
        <v>49001</v>
      </c>
      <c r="F175" t="s">
        <v>115</v>
      </c>
      <c r="G175" t="s">
        <v>65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5">
      <c r="A176" t="str">
        <f t="shared" si="2"/>
        <v>140100490012026M04</v>
      </c>
      <c r="B176">
        <v>51321001</v>
      </c>
      <c r="C176">
        <v>4</v>
      </c>
      <c r="D176">
        <v>140100</v>
      </c>
      <c r="E176">
        <v>49001</v>
      </c>
      <c r="F176" t="s">
        <v>115</v>
      </c>
      <c r="G176" t="s">
        <v>66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 x14ac:dyDescent="0.25">
      <c r="A177" t="str">
        <f t="shared" si="2"/>
        <v>140100490012026M05</v>
      </c>
      <c r="B177">
        <v>51321001</v>
      </c>
      <c r="C177">
        <v>4</v>
      </c>
      <c r="D177">
        <v>140100</v>
      </c>
      <c r="E177">
        <v>49001</v>
      </c>
      <c r="F177" t="s">
        <v>115</v>
      </c>
      <c r="G177" t="s">
        <v>67</v>
      </c>
      <c r="H177">
        <v>215399.99</v>
      </c>
      <c r="I177">
        <v>215399.99</v>
      </c>
      <c r="J177">
        <v>0</v>
      </c>
      <c r="K177">
        <v>0</v>
      </c>
      <c r="L177">
        <v>0</v>
      </c>
    </row>
    <row r="178" spans="1:12" x14ac:dyDescent="0.25">
      <c r="A178" t="str">
        <f t="shared" si="2"/>
        <v>140100490012026M06</v>
      </c>
      <c r="B178">
        <v>51321001</v>
      </c>
      <c r="C178">
        <v>4</v>
      </c>
      <c r="D178">
        <v>140100</v>
      </c>
      <c r="E178">
        <v>49001</v>
      </c>
      <c r="F178" t="s">
        <v>115</v>
      </c>
      <c r="G178" t="s">
        <v>68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25">
      <c r="A179" t="str">
        <f t="shared" si="2"/>
        <v>140100490012026M07</v>
      </c>
      <c r="B179">
        <v>51321001</v>
      </c>
      <c r="C179">
        <v>4</v>
      </c>
      <c r="D179">
        <v>140100</v>
      </c>
      <c r="E179">
        <v>49001</v>
      </c>
      <c r="F179" t="s">
        <v>115</v>
      </c>
      <c r="G179" t="s">
        <v>69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5">
      <c r="A180" t="str">
        <f t="shared" si="2"/>
        <v>140100490012026M08</v>
      </c>
      <c r="B180">
        <v>51321001</v>
      </c>
      <c r="C180">
        <v>4</v>
      </c>
      <c r="D180">
        <v>140100</v>
      </c>
      <c r="E180">
        <v>49001</v>
      </c>
      <c r="F180" t="s">
        <v>115</v>
      </c>
      <c r="G180" t="s">
        <v>70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5">
      <c r="A181" t="str">
        <f t="shared" si="2"/>
        <v>140100490012026M09</v>
      </c>
      <c r="B181">
        <v>51321001</v>
      </c>
      <c r="C181">
        <v>4</v>
      </c>
      <c r="D181">
        <v>140100</v>
      </c>
      <c r="E181">
        <v>49001</v>
      </c>
      <c r="F181" t="s">
        <v>115</v>
      </c>
      <c r="G181" t="s">
        <v>71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25">
      <c r="A182" t="str">
        <f t="shared" si="2"/>
        <v>140100490012026M10</v>
      </c>
      <c r="B182">
        <v>51321001</v>
      </c>
      <c r="C182">
        <v>4</v>
      </c>
      <c r="D182">
        <v>140100</v>
      </c>
      <c r="E182">
        <v>49001</v>
      </c>
      <c r="F182" t="s">
        <v>115</v>
      </c>
      <c r="G182" t="s">
        <v>72</v>
      </c>
      <c r="H182">
        <v>0.01</v>
      </c>
      <c r="I182">
        <v>0</v>
      </c>
      <c r="J182">
        <v>0.01</v>
      </c>
      <c r="K182">
        <v>0</v>
      </c>
      <c r="L182">
        <v>0</v>
      </c>
    </row>
    <row r="183" spans="1:12" x14ac:dyDescent="0.25">
      <c r="A183" t="str">
        <f t="shared" si="2"/>
        <v>140100590012026M02</v>
      </c>
      <c r="B183">
        <v>51321001</v>
      </c>
      <c r="C183">
        <v>5</v>
      </c>
      <c r="D183">
        <v>140100</v>
      </c>
      <c r="E183">
        <v>59001</v>
      </c>
      <c r="F183" t="s">
        <v>115</v>
      </c>
      <c r="G183" t="s">
        <v>64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25">
      <c r="A184" t="str">
        <f t="shared" si="2"/>
        <v>140100590012026M03</v>
      </c>
      <c r="B184">
        <v>51321001</v>
      </c>
      <c r="C184">
        <v>5</v>
      </c>
      <c r="D184">
        <v>140100</v>
      </c>
      <c r="E184">
        <v>59001</v>
      </c>
      <c r="F184" t="s">
        <v>115</v>
      </c>
      <c r="G184" t="s">
        <v>65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5">
      <c r="A185" t="str">
        <f t="shared" si="2"/>
        <v>140100590012026M04</v>
      </c>
      <c r="B185">
        <v>51321001</v>
      </c>
      <c r="C185">
        <v>5</v>
      </c>
      <c r="D185">
        <v>140100</v>
      </c>
      <c r="E185">
        <v>59001</v>
      </c>
      <c r="F185" t="s">
        <v>115</v>
      </c>
      <c r="G185" t="s">
        <v>66</v>
      </c>
      <c r="H185">
        <v>288840</v>
      </c>
      <c r="I185">
        <v>288840</v>
      </c>
      <c r="J185">
        <v>0</v>
      </c>
      <c r="K185">
        <v>0</v>
      </c>
      <c r="L185">
        <v>0</v>
      </c>
    </row>
    <row r="186" spans="1:12" x14ac:dyDescent="0.25">
      <c r="A186" t="str">
        <f t="shared" si="2"/>
        <v>140100590012026M05</v>
      </c>
      <c r="B186">
        <v>51321001</v>
      </c>
      <c r="C186">
        <v>5</v>
      </c>
      <c r="D186">
        <v>140100</v>
      </c>
      <c r="E186">
        <v>59001</v>
      </c>
      <c r="F186" t="s">
        <v>115</v>
      </c>
      <c r="G186" t="s">
        <v>67</v>
      </c>
      <c r="H186">
        <v>96280</v>
      </c>
      <c r="I186">
        <v>96280</v>
      </c>
      <c r="J186">
        <v>0</v>
      </c>
      <c r="K186">
        <v>0</v>
      </c>
      <c r="L186">
        <v>0</v>
      </c>
    </row>
    <row r="187" spans="1:12" x14ac:dyDescent="0.25">
      <c r="A187" t="str">
        <f t="shared" si="2"/>
        <v>140100590012026M06</v>
      </c>
      <c r="B187">
        <v>51321001</v>
      </c>
      <c r="C187">
        <v>5</v>
      </c>
      <c r="D187">
        <v>140100</v>
      </c>
      <c r="E187">
        <v>59001</v>
      </c>
      <c r="F187" t="s">
        <v>115</v>
      </c>
      <c r="G187" t="s">
        <v>68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25">
      <c r="A188" t="str">
        <f t="shared" si="2"/>
        <v>140100590012026M07</v>
      </c>
      <c r="B188">
        <v>51321001</v>
      </c>
      <c r="C188">
        <v>5</v>
      </c>
      <c r="D188">
        <v>140100</v>
      </c>
      <c r="E188">
        <v>59001</v>
      </c>
      <c r="F188" t="s">
        <v>115</v>
      </c>
      <c r="G188" t="s">
        <v>69</v>
      </c>
      <c r="H188">
        <v>176372.01</v>
      </c>
      <c r="I188">
        <v>176372.01</v>
      </c>
      <c r="J188">
        <v>0</v>
      </c>
      <c r="K188">
        <v>0</v>
      </c>
      <c r="L188">
        <v>0</v>
      </c>
    </row>
    <row r="189" spans="1:12" x14ac:dyDescent="0.25">
      <c r="A189" t="str">
        <f t="shared" si="2"/>
        <v>140100590012026M08</v>
      </c>
      <c r="B189">
        <v>51321001</v>
      </c>
      <c r="C189">
        <v>5</v>
      </c>
      <c r="D189">
        <v>140100</v>
      </c>
      <c r="E189">
        <v>59001</v>
      </c>
      <c r="F189" t="s">
        <v>115</v>
      </c>
      <c r="G189" t="s">
        <v>70</v>
      </c>
      <c r="H189">
        <v>88186.01</v>
      </c>
      <c r="I189">
        <v>88186.01</v>
      </c>
      <c r="J189">
        <v>0</v>
      </c>
      <c r="K189">
        <v>0</v>
      </c>
      <c r="L189">
        <v>0</v>
      </c>
    </row>
    <row r="190" spans="1:12" x14ac:dyDescent="0.25">
      <c r="A190" t="str">
        <f t="shared" si="2"/>
        <v>140100590012026M09</v>
      </c>
      <c r="B190">
        <v>51321001</v>
      </c>
      <c r="C190">
        <v>5</v>
      </c>
      <c r="D190">
        <v>140100</v>
      </c>
      <c r="E190">
        <v>59001</v>
      </c>
      <c r="F190" t="s">
        <v>115</v>
      </c>
      <c r="G190" t="s">
        <v>71</v>
      </c>
      <c r="H190">
        <v>88186.01</v>
      </c>
      <c r="I190">
        <v>88186.01</v>
      </c>
      <c r="J190">
        <v>0</v>
      </c>
      <c r="K190">
        <v>0</v>
      </c>
      <c r="L190">
        <v>0</v>
      </c>
    </row>
    <row r="191" spans="1:12" x14ac:dyDescent="0.25">
      <c r="A191" t="str">
        <f t="shared" si="2"/>
        <v>140100590012026M10</v>
      </c>
      <c r="B191">
        <v>51321001</v>
      </c>
      <c r="C191">
        <v>5</v>
      </c>
      <c r="D191">
        <v>140100</v>
      </c>
      <c r="E191">
        <v>59001</v>
      </c>
      <c r="F191" t="s">
        <v>115</v>
      </c>
      <c r="G191" t="s">
        <v>72</v>
      </c>
      <c r="H191">
        <v>353655.97</v>
      </c>
      <c r="I191">
        <v>0</v>
      </c>
      <c r="J191">
        <v>128655.97</v>
      </c>
      <c r="K191">
        <v>0</v>
      </c>
      <c r="L191">
        <v>225000</v>
      </c>
    </row>
    <row r="192" spans="1:12" x14ac:dyDescent="0.25">
      <c r="A192" t="str">
        <f t="shared" si="2"/>
        <v>140100590012026M11</v>
      </c>
      <c r="B192">
        <v>51321001</v>
      </c>
      <c r="C192">
        <v>5</v>
      </c>
      <c r="D192">
        <v>140100</v>
      </c>
      <c r="E192">
        <v>59001</v>
      </c>
      <c r="F192" t="s">
        <v>115</v>
      </c>
      <c r="G192" t="s">
        <v>73</v>
      </c>
      <c r="H192">
        <v>121280</v>
      </c>
      <c r="I192">
        <v>0</v>
      </c>
      <c r="J192">
        <v>96280</v>
      </c>
      <c r="K192">
        <v>0</v>
      </c>
      <c r="L192">
        <v>25000</v>
      </c>
    </row>
    <row r="193" spans="1:12" x14ac:dyDescent="0.25">
      <c r="A193" t="str">
        <f t="shared" si="2"/>
        <v>140100590012026M12</v>
      </c>
      <c r="B193">
        <v>51321001</v>
      </c>
      <c r="C193">
        <v>5</v>
      </c>
      <c r="D193">
        <v>140100</v>
      </c>
      <c r="E193">
        <v>59001</v>
      </c>
      <c r="F193" t="s">
        <v>115</v>
      </c>
      <c r="G193" t="s">
        <v>74</v>
      </c>
      <c r="H193">
        <v>242560</v>
      </c>
      <c r="I193">
        <v>0</v>
      </c>
      <c r="J193">
        <v>192560</v>
      </c>
      <c r="K193">
        <v>0</v>
      </c>
      <c r="L193">
        <v>50000</v>
      </c>
    </row>
    <row r="194" spans="1:12" x14ac:dyDescent="0.25">
      <c r="A194" t="str">
        <f t="shared" si="2"/>
        <v>150900580012026M02</v>
      </c>
      <c r="B194">
        <v>51321001</v>
      </c>
      <c r="C194">
        <v>5</v>
      </c>
      <c r="D194">
        <v>150900</v>
      </c>
      <c r="E194">
        <v>58001</v>
      </c>
      <c r="F194" t="s">
        <v>115</v>
      </c>
      <c r="G194" t="s">
        <v>64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25">
      <c r="A195" t="str">
        <f t="shared" si="2"/>
        <v>150900580012026M03</v>
      </c>
      <c r="B195">
        <v>51321001</v>
      </c>
      <c r="C195">
        <v>5</v>
      </c>
      <c r="D195">
        <v>150900</v>
      </c>
      <c r="E195">
        <v>58001</v>
      </c>
      <c r="F195" t="s">
        <v>115</v>
      </c>
      <c r="G195" t="s">
        <v>65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5">
      <c r="A196" t="str">
        <f t="shared" si="2"/>
        <v>150900580012026M04</v>
      </c>
      <c r="B196">
        <v>51321001</v>
      </c>
      <c r="C196">
        <v>5</v>
      </c>
      <c r="D196">
        <v>150900</v>
      </c>
      <c r="E196">
        <v>58001</v>
      </c>
      <c r="F196" t="s">
        <v>115</v>
      </c>
      <c r="G196" t="s">
        <v>66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5">
      <c r="A197" t="str">
        <f t="shared" si="2"/>
        <v>150900580012026M05</v>
      </c>
      <c r="B197">
        <v>51321001</v>
      </c>
      <c r="C197">
        <v>5</v>
      </c>
      <c r="D197">
        <v>150900</v>
      </c>
      <c r="E197">
        <v>58001</v>
      </c>
      <c r="F197" t="s">
        <v>115</v>
      </c>
      <c r="G197" t="s">
        <v>67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5">
      <c r="A198" t="str">
        <f t="shared" si="2"/>
        <v>150900580012026M06</v>
      </c>
      <c r="B198">
        <v>51321001</v>
      </c>
      <c r="C198">
        <v>5</v>
      </c>
      <c r="D198">
        <v>150900</v>
      </c>
      <c r="E198">
        <v>58001</v>
      </c>
      <c r="F198" t="s">
        <v>115</v>
      </c>
      <c r="G198" t="s">
        <v>68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5">
      <c r="A199" t="str">
        <f t="shared" si="2"/>
        <v>150900580012026M07</v>
      </c>
      <c r="B199">
        <v>51321001</v>
      </c>
      <c r="C199">
        <v>5</v>
      </c>
      <c r="D199">
        <v>150900</v>
      </c>
      <c r="E199">
        <v>58001</v>
      </c>
      <c r="F199" t="s">
        <v>115</v>
      </c>
      <c r="G199" t="s">
        <v>69</v>
      </c>
      <c r="H199">
        <v>4103998.35</v>
      </c>
      <c r="I199">
        <v>4103998.35</v>
      </c>
      <c r="J199">
        <v>0</v>
      </c>
      <c r="K199">
        <v>0</v>
      </c>
      <c r="L199">
        <v>0</v>
      </c>
    </row>
    <row r="200" spans="1:12" x14ac:dyDescent="0.25">
      <c r="A200" t="str">
        <f t="shared" si="2"/>
        <v>150900580012026M08</v>
      </c>
      <c r="B200">
        <v>51321001</v>
      </c>
      <c r="C200">
        <v>5</v>
      </c>
      <c r="D200">
        <v>150900</v>
      </c>
      <c r="E200">
        <v>58001</v>
      </c>
      <c r="F200" t="s">
        <v>115</v>
      </c>
      <c r="G200" t="s">
        <v>70</v>
      </c>
      <c r="H200">
        <v>683999.73</v>
      </c>
      <c r="I200">
        <v>683999.73</v>
      </c>
      <c r="J200">
        <v>0</v>
      </c>
      <c r="K200">
        <v>0</v>
      </c>
      <c r="L200">
        <v>0</v>
      </c>
    </row>
    <row r="201" spans="1:12" x14ac:dyDescent="0.25">
      <c r="A201" t="str">
        <f t="shared" si="2"/>
        <v>150900580012026M09</v>
      </c>
      <c r="B201">
        <v>51321001</v>
      </c>
      <c r="C201">
        <v>5</v>
      </c>
      <c r="D201">
        <v>150900</v>
      </c>
      <c r="E201">
        <v>58001</v>
      </c>
      <c r="F201" t="s">
        <v>115</v>
      </c>
      <c r="G201" t="s">
        <v>71</v>
      </c>
      <c r="H201">
        <v>683999.73</v>
      </c>
      <c r="I201">
        <v>683999.73</v>
      </c>
      <c r="J201">
        <v>0</v>
      </c>
      <c r="K201">
        <v>0</v>
      </c>
      <c r="L201">
        <v>0</v>
      </c>
    </row>
    <row r="202" spans="1:12" x14ac:dyDescent="0.25">
      <c r="A202" t="str">
        <f t="shared" si="2"/>
        <v>150900580012026M10</v>
      </c>
      <c r="B202">
        <v>51321001</v>
      </c>
      <c r="C202">
        <v>5</v>
      </c>
      <c r="D202">
        <v>150900</v>
      </c>
      <c r="E202">
        <v>58001</v>
      </c>
      <c r="F202" t="s">
        <v>115</v>
      </c>
      <c r="G202" t="s">
        <v>72</v>
      </c>
      <c r="H202">
        <v>1668962.19</v>
      </c>
      <c r="I202">
        <v>0</v>
      </c>
      <c r="J202">
        <v>1668962.19</v>
      </c>
      <c r="K202">
        <v>0</v>
      </c>
      <c r="L202">
        <v>0</v>
      </c>
    </row>
    <row r="203" spans="1:12" x14ac:dyDescent="0.25">
      <c r="A203" t="str">
        <f t="shared" ref="A203:A266" si="3">D203&amp;E203&amp;G203</f>
        <v>150900580012026M11</v>
      </c>
      <c r="B203">
        <v>51321001</v>
      </c>
      <c r="C203">
        <v>5</v>
      </c>
      <c r="D203">
        <v>150900</v>
      </c>
      <c r="E203">
        <v>58001</v>
      </c>
      <c r="F203" t="s">
        <v>115</v>
      </c>
      <c r="G203" t="s">
        <v>73</v>
      </c>
      <c r="H203">
        <v>793440</v>
      </c>
      <c r="I203">
        <v>0</v>
      </c>
      <c r="J203">
        <v>793440</v>
      </c>
      <c r="K203">
        <v>0</v>
      </c>
      <c r="L203">
        <v>0</v>
      </c>
    </row>
    <row r="204" spans="1:12" x14ac:dyDescent="0.25">
      <c r="A204" t="str">
        <f t="shared" si="3"/>
        <v>150900580012026M12</v>
      </c>
      <c r="B204">
        <v>51321001</v>
      </c>
      <c r="C204">
        <v>5</v>
      </c>
      <c r="D204">
        <v>150900</v>
      </c>
      <c r="E204">
        <v>58001</v>
      </c>
      <c r="F204" t="s">
        <v>115</v>
      </c>
      <c r="G204" t="s">
        <v>74</v>
      </c>
      <c r="H204">
        <v>1586880</v>
      </c>
      <c r="I204">
        <v>0</v>
      </c>
      <c r="J204">
        <v>1586880</v>
      </c>
      <c r="K204">
        <v>0</v>
      </c>
      <c r="L204">
        <v>0</v>
      </c>
    </row>
    <row r="205" spans="1:12" x14ac:dyDescent="0.25">
      <c r="A205" t="str">
        <f t="shared" si="3"/>
        <v>200200524092026M02</v>
      </c>
      <c r="B205">
        <v>51321001</v>
      </c>
      <c r="C205">
        <v>5</v>
      </c>
      <c r="D205">
        <v>200200</v>
      </c>
      <c r="E205">
        <v>52409</v>
      </c>
      <c r="F205" t="s">
        <v>115</v>
      </c>
      <c r="G205" t="s">
        <v>64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5">
      <c r="A206" t="str">
        <f t="shared" si="3"/>
        <v>200200524092026M03</v>
      </c>
      <c r="B206">
        <v>51321001</v>
      </c>
      <c r="C206">
        <v>5</v>
      </c>
      <c r="D206">
        <v>200200</v>
      </c>
      <c r="E206">
        <v>52409</v>
      </c>
      <c r="F206" t="s">
        <v>115</v>
      </c>
      <c r="G206" t="s">
        <v>65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5">
      <c r="A207" t="str">
        <f t="shared" si="3"/>
        <v>200200524092026M04</v>
      </c>
      <c r="B207">
        <v>51321001</v>
      </c>
      <c r="C207">
        <v>5</v>
      </c>
      <c r="D207">
        <v>200200</v>
      </c>
      <c r="E207">
        <v>52409</v>
      </c>
      <c r="F207" t="s">
        <v>115</v>
      </c>
      <c r="G207" t="s">
        <v>66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5">
      <c r="A208" t="str">
        <f t="shared" si="3"/>
        <v>200200524092026M05</v>
      </c>
      <c r="B208">
        <v>51321001</v>
      </c>
      <c r="C208">
        <v>5</v>
      </c>
      <c r="D208">
        <v>200200</v>
      </c>
      <c r="E208">
        <v>52409</v>
      </c>
      <c r="F208" t="s">
        <v>115</v>
      </c>
      <c r="G208" t="s">
        <v>67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5">
      <c r="A209" t="str">
        <f t="shared" si="3"/>
        <v>200200524092026M06</v>
      </c>
      <c r="B209">
        <v>51321001</v>
      </c>
      <c r="C209">
        <v>5</v>
      </c>
      <c r="D209">
        <v>200200</v>
      </c>
      <c r="E209">
        <v>52409</v>
      </c>
      <c r="F209" t="s">
        <v>115</v>
      </c>
      <c r="G209" t="s">
        <v>68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25">
      <c r="A210" t="str">
        <f t="shared" si="3"/>
        <v>200200524092026M07</v>
      </c>
      <c r="B210">
        <v>51321001</v>
      </c>
      <c r="C210">
        <v>5</v>
      </c>
      <c r="D210">
        <v>200200</v>
      </c>
      <c r="E210">
        <v>52409</v>
      </c>
      <c r="F210" t="s">
        <v>115</v>
      </c>
      <c r="G210" t="s">
        <v>69</v>
      </c>
      <c r="H210">
        <v>1279664.97</v>
      </c>
      <c r="I210">
        <v>1279664.97</v>
      </c>
      <c r="J210">
        <v>0</v>
      </c>
      <c r="K210">
        <v>0</v>
      </c>
      <c r="L210">
        <v>0</v>
      </c>
    </row>
    <row r="211" spans="1:12" x14ac:dyDescent="0.25">
      <c r="A211" t="str">
        <f t="shared" si="3"/>
        <v>200200524092026M08</v>
      </c>
      <c r="B211">
        <v>51321001</v>
      </c>
      <c r="C211">
        <v>5</v>
      </c>
      <c r="D211">
        <v>200200</v>
      </c>
      <c r="E211">
        <v>52409</v>
      </c>
      <c r="F211" t="s">
        <v>115</v>
      </c>
      <c r="G211" t="s">
        <v>70</v>
      </c>
      <c r="H211">
        <v>213277.5</v>
      </c>
      <c r="I211">
        <v>213277.5</v>
      </c>
      <c r="J211">
        <v>0</v>
      </c>
      <c r="K211">
        <v>0</v>
      </c>
      <c r="L211">
        <v>0</v>
      </c>
    </row>
    <row r="212" spans="1:12" x14ac:dyDescent="0.25">
      <c r="A212" t="str">
        <f t="shared" si="3"/>
        <v>200200524092026M09</v>
      </c>
      <c r="B212">
        <v>51321001</v>
      </c>
      <c r="C212">
        <v>5</v>
      </c>
      <c r="D212">
        <v>200200</v>
      </c>
      <c r="E212">
        <v>52409</v>
      </c>
      <c r="F212" t="s">
        <v>115</v>
      </c>
      <c r="G212" t="s">
        <v>71</v>
      </c>
      <c r="H212">
        <v>213277.5</v>
      </c>
      <c r="I212">
        <v>213277.5</v>
      </c>
      <c r="J212">
        <v>0</v>
      </c>
      <c r="K212">
        <v>0</v>
      </c>
      <c r="L212">
        <v>0</v>
      </c>
    </row>
    <row r="213" spans="1:12" x14ac:dyDescent="0.25">
      <c r="A213" t="str">
        <f t="shared" si="3"/>
        <v>200200524092026M10</v>
      </c>
      <c r="B213">
        <v>51321001</v>
      </c>
      <c r="C213">
        <v>5</v>
      </c>
      <c r="D213">
        <v>200200</v>
      </c>
      <c r="E213">
        <v>52409</v>
      </c>
      <c r="F213" t="s">
        <v>115</v>
      </c>
      <c r="G213" t="s">
        <v>72</v>
      </c>
      <c r="H213">
        <v>213282.03</v>
      </c>
      <c r="I213">
        <v>0</v>
      </c>
      <c r="J213">
        <v>213278.43</v>
      </c>
      <c r="K213">
        <v>0</v>
      </c>
      <c r="L213">
        <v>3.6</v>
      </c>
    </row>
    <row r="214" spans="1:12" x14ac:dyDescent="0.25">
      <c r="A214" t="str">
        <f t="shared" si="3"/>
        <v>200200524092026M11</v>
      </c>
      <c r="B214">
        <v>51321001</v>
      </c>
      <c r="C214">
        <v>5</v>
      </c>
      <c r="D214">
        <v>200200</v>
      </c>
      <c r="E214">
        <v>52409</v>
      </c>
      <c r="F214" t="s">
        <v>115</v>
      </c>
      <c r="G214" t="s">
        <v>73</v>
      </c>
      <c r="H214">
        <v>213278</v>
      </c>
      <c r="I214">
        <v>0</v>
      </c>
      <c r="J214">
        <v>213277.6</v>
      </c>
      <c r="K214">
        <v>0</v>
      </c>
      <c r="L214">
        <v>0.4</v>
      </c>
    </row>
    <row r="215" spans="1:12" x14ac:dyDescent="0.25">
      <c r="A215" t="str">
        <f t="shared" si="3"/>
        <v>200200524092026M12</v>
      </c>
      <c r="B215">
        <v>51321001</v>
      </c>
      <c r="C215">
        <v>5</v>
      </c>
      <c r="D215">
        <v>200200</v>
      </c>
      <c r="E215">
        <v>52409</v>
      </c>
      <c r="F215" t="s">
        <v>115</v>
      </c>
      <c r="G215" t="s">
        <v>74</v>
      </c>
      <c r="H215">
        <v>426556</v>
      </c>
      <c r="I215">
        <v>0</v>
      </c>
      <c r="J215">
        <v>426555.2</v>
      </c>
      <c r="K215">
        <v>0</v>
      </c>
      <c r="L215">
        <v>0.8</v>
      </c>
    </row>
    <row r="216" spans="1:12" x14ac:dyDescent="0.25">
      <c r="A216" t="str">
        <f t="shared" si="3"/>
        <v>380200559012026M02</v>
      </c>
      <c r="B216">
        <v>51321001</v>
      </c>
      <c r="C216">
        <v>5</v>
      </c>
      <c r="D216">
        <v>380200</v>
      </c>
      <c r="E216">
        <v>55901</v>
      </c>
      <c r="F216" t="s">
        <v>115</v>
      </c>
      <c r="G216" t="s">
        <v>64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 t="str">
        <f t="shared" si="3"/>
        <v>380200559012026M03</v>
      </c>
      <c r="B217">
        <v>51321001</v>
      </c>
      <c r="C217">
        <v>5</v>
      </c>
      <c r="D217">
        <v>380200</v>
      </c>
      <c r="E217">
        <v>55901</v>
      </c>
      <c r="F217" t="s">
        <v>115</v>
      </c>
      <c r="G217" t="s">
        <v>65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x14ac:dyDescent="0.25">
      <c r="A218" t="str">
        <f t="shared" si="3"/>
        <v>380200559012026M04</v>
      </c>
      <c r="B218">
        <v>51321001</v>
      </c>
      <c r="C218">
        <v>5</v>
      </c>
      <c r="D218">
        <v>380200</v>
      </c>
      <c r="E218">
        <v>55901</v>
      </c>
      <c r="F218" t="s">
        <v>115</v>
      </c>
      <c r="G218" t="s">
        <v>66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 x14ac:dyDescent="0.25">
      <c r="A219" t="str">
        <f t="shared" si="3"/>
        <v>380200559012026M05</v>
      </c>
      <c r="B219">
        <v>51321001</v>
      </c>
      <c r="C219">
        <v>5</v>
      </c>
      <c r="D219">
        <v>380200</v>
      </c>
      <c r="E219">
        <v>55901</v>
      </c>
      <c r="F219" t="s">
        <v>115</v>
      </c>
      <c r="G219" t="s">
        <v>67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5">
      <c r="A220" t="str">
        <f t="shared" si="3"/>
        <v>380200559012026M06</v>
      </c>
      <c r="B220">
        <v>51321001</v>
      </c>
      <c r="C220">
        <v>5</v>
      </c>
      <c r="D220">
        <v>380200</v>
      </c>
      <c r="E220">
        <v>55901</v>
      </c>
      <c r="F220" t="s">
        <v>115</v>
      </c>
      <c r="G220" t="s">
        <v>68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25">
      <c r="A221" t="str">
        <f t="shared" si="3"/>
        <v>380200559012026M07</v>
      </c>
      <c r="B221">
        <v>51321001</v>
      </c>
      <c r="C221">
        <v>5</v>
      </c>
      <c r="D221">
        <v>380200</v>
      </c>
      <c r="E221">
        <v>55901</v>
      </c>
      <c r="F221" t="s">
        <v>115</v>
      </c>
      <c r="G221" t="s">
        <v>69</v>
      </c>
      <c r="H221">
        <v>623105.66</v>
      </c>
      <c r="I221">
        <v>623105.66</v>
      </c>
      <c r="J221">
        <v>0</v>
      </c>
      <c r="K221">
        <v>0</v>
      </c>
      <c r="L221">
        <v>0</v>
      </c>
    </row>
    <row r="222" spans="1:12" x14ac:dyDescent="0.25">
      <c r="A222" t="str">
        <f t="shared" si="3"/>
        <v>380200559012026M08</v>
      </c>
      <c r="B222">
        <v>51321001</v>
      </c>
      <c r="C222">
        <v>5</v>
      </c>
      <c r="D222">
        <v>380200</v>
      </c>
      <c r="E222">
        <v>55901</v>
      </c>
      <c r="F222" t="s">
        <v>115</v>
      </c>
      <c r="G222" t="s">
        <v>70</v>
      </c>
      <c r="H222">
        <v>103850.94</v>
      </c>
      <c r="I222">
        <v>103850.94</v>
      </c>
      <c r="J222">
        <v>0</v>
      </c>
      <c r="K222">
        <v>0</v>
      </c>
      <c r="L222">
        <v>0</v>
      </c>
    </row>
    <row r="223" spans="1:12" x14ac:dyDescent="0.25">
      <c r="A223" t="str">
        <f t="shared" si="3"/>
        <v>380200559012026M09</v>
      </c>
      <c r="B223">
        <v>51321001</v>
      </c>
      <c r="C223">
        <v>5</v>
      </c>
      <c r="D223">
        <v>380200</v>
      </c>
      <c r="E223">
        <v>55901</v>
      </c>
      <c r="F223" t="s">
        <v>115</v>
      </c>
      <c r="G223" t="s">
        <v>71</v>
      </c>
      <c r="H223">
        <v>103850.94</v>
      </c>
      <c r="I223">
        <v>103850.94</v>
      </c>
      <c r="J223">
        <v>0</v>
      </c>
      <c r="K223">
        <v>0</v>
      </c>
      <c r="L223">
        <v>0</v>
      </c>
    </row>
    <row r="224" spans="1:12" x14ac:dyDescent="0.25">
      <c r="A224" t="str">
        <f t="shared" si="3"/>
        <v>380200559012026M10</v>
      </c>
      <c r="B224">
        <v>51321001</v>
      </c>
      <c r="C224">
        <v>5</v>
      </c>
      <c r="D224">
        <v>380200</v>
      </c>
      <c r="E224">
        <v>55901</v>
      </c>
      <c r="F224" t="s">
        <v>115</v>
      </c>
      <c r="G224" t="s">
        <v>72</v>
      </c>
      <c r="H224">
        <v>103923.46</v>
      </c>
      <c r="I224">
        <v>0</v>
      </c>
      <c r="J224">
        <v>103917.62</v>
      </c>
      <c r="K224">
        <v>0</v>
      </c>
      <c r="L224">
        <v>5.84</v>
      </c>
    </row>
    <row r="225" spans="1:12" x14ac:dyDescent="0.25">
      <c r="A225" t="str">
        <f t="shared" si="3"/>
        <v>380200559012026M11</v>
      </c>
      <c r="B225">
        <v>51321001</v>
      </c>
      <c r="C225">
        <v>5</v>
      </c>
      <c r="D225">
        <v>380200</v>
      </c>
      <c r="E225">
        <v>55901</v>
      </c>
      <c r="F225" t="s">
        <v>115</v>
      </c>
      <c r="G225" t="s">
        <v>73</v>
      </c>
      <c r="H225">
        <v>103859</v>
      </c>
      <c r="I225">
        <v>0</v>
      </c>
      <c r="J225">
        <v>103858.28</v>
      </c>
      <c r="K225">
        <v>0</v>
      </c>
      <c r="L225">
        <v>0.72</v>
      </c>
    </row>
    <row r="226" spans="1:12" x14ac:dyDescent="0.25">
      <c r="A226" t="str">
        <f t="shared" si="3"/>
        <v>380200559012026M12</v>
      </c>
      <c r="B226">
        <v>51321001</v>
      </c>
      <c r="C226">
        <v>5</v>
      </c>
      <c r="D226">
        <v>380200</v>
      </c>
      <c r="E226">
        <v>55901</v>
      </c>
      <c r="F226" t="s">
        <v>115</v>
      </c>
      <c r="G226" t="s">
        <v>74</v>
      </c>
      <c r="H226">
        <v>207718</v>
      </c>
      <c r="I226">
        <v>0</v>
      </c>
      <c r="J226">
        <v>207715.92</v>
      </c>
      <c r="K226">
        <v>0</v>
      </c>
      <c r="L226">
        <v>2.08</v>
      </c>
    </row>
    <row r="227" spans="1:12" x14ac:dyDescent="0.25">
      <c r="A227" t="str">
        <f t="shared" si="3"/>
        <v>380200559052026M02</v>
      </c>
      <c r="B227">
        <v>51321001</v>
      </c>
      <c r="C227">
        <v>5</v>
      </c>
      <c r="D227">
        <v>380200</v>
      </c>
      <c r="E227">
        <v>55905</v>
      </c>
      <c r="F227" t="s">
        <v>115</v>
      </c>
      <c r="G227" t="s">
        <v>64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 t="str">
        <f t="shared" si="3"/>
        <v>380200559052026M03</v>
      </c>
      <c r="B228">
        <v>51321001</v>
      </c>
      <c r="C228">
        <v>5</v>
      </c>
      <c r="D228">
        <v>380200</v>
      </c>
      <c r="E228">
        <v>55905</v>
      </c>
      <c r="F228" t="s">
        <v>115</v>
      </c>
      <c r="G228" t="s">
        <v>65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5">
      <c r="A229" t="str">
        <f t="shared" si="3"/>
        <v>380200559052026M04</v>
      </c>
      <c r="B229">
        <v>51321001</v>
      </c>
      <c r="C229">
        <v>5</v>
      </c>
      <c r="D229">
        <v>380200</v>
      </c>
      <c r="E229">
        <v>55905</v>
      </c>
      <c r="F229" t="s">
        <v>115</v>
      </c>
      <c r="G229" t="s">
        <v>66</v>
      </c>
      <c r="H229">
        <v>276923.06</v>
      </c>
      <c r="I229">
        <v>276923.06</v>
      </c>
      <c r="J229">
        <v>0</v>
      </c>
      <c r="K229">
        <v>0</v>
      </c>
      <c r="L229">
        <v>0</v>
      </c>
    </row>
    <row r="230" spans="1:12" x14ac:dyDescent="0.25">
      <c r="A230" t="str">
        <f t="shared" si="3"/>
        <v>380200559052026M05</v>
      </c>
      <c r="B230">
        <v>51321001</v>
      </c>
      <c r="C230">
        <v>5</v>
      </c>
      <c r="D230">
        <v>380200</v>
      </c>
      <c r="E230">
        <v>55905</v>
      </c>
      <c r="F230" t="s">
        <v>115</v>
      </c>
      <c r="G230" t="s">
        <v>67</v>
      </c>
      <c r="H230">
        <v>92307.68</v>
      </c>
      <c r="I230">
        <v>92307.68</v>
      </c>
      <c r="J230">
        <v>0</v>
      </c>
      <c r="K230">
        <v>0</v>
      </c>
      <c r="L230">
        <v>0</v>
      </c>
    </row>
    <row r="231" spans="1:12" x14ac:dyDescent="0.25">
      <c r="A231" t="str">
        <f t="shared" si="3"/>
        <v>380200559052026M06</v>
      </c>
      <c r="B231">
        <v>51321001</v>
      </c>
      <c r="C231">
        <v>5</v>
      </c>
      <c r="D231">
        <v>380200</v>
      </c>
      <c r="E231">
        <v>55905</v>
      </c>
      <c r="F231" t="s">
        <v>115</v>
      </c>
      <c r="G231" t="s">
        <v>68</v>
      </c>
      <c r="H231">
        <v>92307.68</v>
      </c>
      <c r="I231">
        <v>92307.68</v>
      </c>
      <c r="J231">
        <v>0</v>
      </c>
      <c r="K231">
        <v>0</v>
      </c>
      <c r="L231">
        <v>0</v>
      </c>
    </row>
    <row r="232" spans="1:12" x14ac:dyDescent="0.25">
      <c r="A232" t="str">
        <f t="shared" si="3"/>
        <v>380200559052026M07</v>
      </c>
      <c r="B232">
        <v>51321001</v>
      </c>
      <c r="C232">
        <v>5</v>
      </c>
      <c r="D232">
        <v>380200</v>
      </c>
      <c r="E232">
        <v>55905</v>
      </c>
      <c r="F232" t="s">
        <v>115</v>
      </c>
      <c r="G232" t="s">
        <v>69</v>
      </c>
      <c r="H232">
        <v>92307.68</v>
      </c>
      <c r="I232">
        <v>92307.68</v>
      </c>
      <c r="J232">
        <v>0</v>
      </c>
      <c r="K232">
        <v>0</v>
      </c>
      <c r="L232">
        <v>0</v>
      </c>
    </row>
    <row r="233" spans="1:12" x14ac:dyDescent="0.25">
      <c r="A233" t="str">
        <f t="shared" si="3"/>
        <v>380200559052026M08</v>
      </c>
      <c r="B233">
        <v>51321001</v>
      </c>
      <c r="C233">
        <v>5</v>
      </c>
      <c r="D233">
        <v>380200</v>
      </c>
      <c r="E233">
        <v>55905</v>
      </c>
      <c r="F233" t="s">
        <v>115</v>
      </c>
      <c r="G233" t="s">
        <v>70</v>
      </c>
      <c r="H233">
        <v>92307.68</v>
      </c>
      <c r="I233">
        <v>92307.68</v>
      </c>
      <c r="J233">
        <v>0</v>
      </c>
      <c r="K233">
        <v>0</v>
      </c>
      <c r="L233">
        <v>0</v>
      </c>
    </row>
    <row r="234" spans="1:12" x14ac:dyDescent="0.25">
      <c r="A234" t="str">
        <f t="shared" si="3"/>
        <v>380200559052026M09</v>
      </c>
      <c r="B234">
        <v>51321001</v>
      </c>
      <c r="C234">
        <v>5</v>
      </c>
      <c r="D234">
        <v>380200</v>
      </c>
      <c r="E234">
        <v>55905</v>
      </c>
      <c r="F234" t="s">
        <v>115</v>
      </c>
      <c r="G234" t="s">
        <v>71</v>
      </c>
      <c r="H234">
        <v>92307.68</v>
      </c>
      <c r="I234">
        <v>92307.68</v>
      </c>
      <c r="J234">
        <v>0</v>
      </c>
      <c r="K234">
        <v>0</v>
      </c>
      <c r="L234">
        <v>0</v>
      </c>
    </row>
    <row r="235" spans="1:12" x14ac:dyDescent="0.25">
      <c r="A235" t="str">
        <f t="shared" si="3"/>
        <v>380200559052026M10</v>
      </c>
      <c r="B235">
        <v>51321001</v>
      </c>
      <c r="C235">
        <v>5</v>
      </c>
      <c r="D235">
        <v>380200</v>
      </c>
      <c r="E235">
        <v>55905</v>
      </c>
      <c r="F235" t="s">
        <v>115</v>
      </c>
      <c r="G235" t="s">
        <v>72</v>
      </c>
      <c r="H235">
        <v>225240.54</v>
      </c>
      <c r="I235">
        <v>0</v>
      </c>
      <c r="J235">
        <v>225240.54</v>
      </c>
      <c r="K235">
        <v>0</v>
      </c>
      <c r="L235">
        <v>0</v>
      </c>
    </row>
    <row r="236" spans="1:12" x14ac:dyDescent="0.25">
      <c r="A236" t="str">
        <f t="shared" si="3"/>
        <v>380200559052026M11</v>
      </c>
      <c r="B236">
        <v>51321001</v>
      </c>
      <c r="C236">
        <v>5</v>
      </c>
      <c r="D236">
        <v>380200</v>
      </c>
      <c r="E236">
        <v>55905</v>
      </c>
      <c r="F236" t="s">
        <v>115</v>
      </c>
      <c r="G236" t="s">
        <v>73</v>
      </c>
      <c r="H236">
        <v>107078</v>
      </c>
      <c r="I236">
        <v>0</v>
      </c>
      <c r="J236">
        <v>107078</v>
      </c>
      <c r="K236">
        <v>0</v>
      </c>
      <c r="L236">
        <v>0</v>
      </c>
    </row>
    <row r="237" spans="1:12" x14ac:dyDescent="0.25">
      <c r="A237" t="str">
        <f t="shared" si="3"/>
        <v>380200559052026M12</v>
      </c>
      <c r="B237">
        <v>51321001</v>
      </c>
      <c r="C237">
        <v>5</v>
      </c>
      <c r="D237">
        <v>380200</v>
      </c>
      <c r="E237">
        <v>55905</v>
      </c>
      <c r="F237" t="s">
        <v>115</v>
      </c>
      <c r="G237" t="s">
        <v>74</v>
      </c>
      <c r="H237">
        <v>214156</v>
      </c>
      <c r="I237">
        <v>0</v>
      </c>
      <c r="J237">
        <v>214148</v>
      </c>
      <c r="K237">
        <v>0</v>
      </c>
      <c r="L237">
        <v>8</v>
      </c>
    </row>
    <row r="238" spans="1:12" x14ac:dyDescent="0.25">
      <c r="A238" t="str">
        <f t="shared" si="3"/>
        <v>700100590012026M02</v>
      </c>
      <c r="B238">
        <v>51321001</v>
      </c>
      <c r="C238">
        <v>5</v>
      </c>
      <c r="D238">
        <v>700100</v>
      </c>
      <c r="E238">
        <v>59001</v>
      </c>
      <c r="F238" t="s">
        <v>115</v>
      </c>
      <c r="G238" t="s">
        <v>64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 x14ac:dyDescent="0.25">
      <c r="A239" t="str">
        <f t="shared" si="3"/>
        <v>700100590012026M03</v>
      </c>
      <c r="B239">
        <v>51321001</v>
      </c>
      <c r="C239">
        <v>5</v>
      </c>
      <c r="D239">
        <v>700100</v>
      </c>
      <c r="E239">
        <v>59001</v>
      </c>
      <c r="F239" t="s">
        <v>115</v>
      </c>
      <c r="G239" t="s">
        <v>65</v>
      </c>
      <c r="H239">
        <v>0</v>
      </c>
      <c r="I239">
        <v>0</v>
      </c>
      <c r="J239">
        <v>0</v>
      </c>
      <c r="K239">
        <v>0</v>
      </c>
      <c r="L239">
        <v>0</v>
      </c>
    </row>
    <row r="240" spans="1:12" x14ac:dyDescent="0.25">
      <c r="A240" t="str">
        <f t="shared" si="3"/>
        <v>700100590012026M04</v>
      </c>
      <c r="B240">
        <v>51321001</v>
      </c>
      <c r="C240">
        <v>5</v>
      </c>
      <c r="D240">
        <v>700100</v>
      </c>
      <c r="E240">
        <v>59001</v>
      </c>
      <c r="F240" t="s">
        <v>115</v>
      </c>
      <c r="G240" t="s">
        <v>66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 x14ac:dyDescent="0.25">
      <c r="A241" t="str">
        <f t="shared" si="3"/>
        <v>700100590012026M05</v>
      </c>
      <c r="B241">
        <v>51321001</v>
      </c>
      <c r="C241">
        <v>5</v>
      </c>
      <c r="D241">
        <v>700100</v>
      </c>
      <c r="E241">
        <v>59001</v>
      </c>
      <c r="F241" t="s">
        <v>115</v>
      </c>
      <c r="G241" t="s">
        <v>67</v>
      </c>
      <c r="H241">
        <v>653099.76</v>
      </c>
      <c r="I241">
        <v>653099.76</v>
      </c>
      <c r="J241">
        <v>0</v>
      </c>
      <c r="K241">
        <v>0</v>
      </c>
      <c r="L241">
        <v>0</v>
      </c>
    </row>
    <row r="242" spans="1:12" x14ac:dyDescent="0.25">
      <c r="A242" t="str">
        <f t="shared" si="3"/>
        <v>700100590012026M06</v>
      </c>
      <c r="B242">
        <v>51321001</v>
      </c>
      <c r="C242">
        <v>5</v>
      </c>
      <c r="D242">
        <v>700100</v>
      </c>
      <c r="E242">
        <v>59001</v>
      </c>
      <c r="F242" t="s">
        <v>115</v>
      </c>
      <c r="G242" t="s">
        <v>68</v>
      </c>
      <c r="H242">
        <v>163274.94</v>
      </c>
      <c r="I242">
        <v>163274.94</v>
      </c>
      <c r="J242">
        <v>0</v>
      </c>
      <c r="K242">
        <v>0</v>
      </c>
      <c r="L242">
        <v>0</v>
      </c>
    </row>
    <row r="243" spans="1:12" x14ac:dyDescent="0.25">
      <c r="A243" t="str">
        <f t="shared" si="3"/>
        <v>700100590012026M07</v>
      </c>
      <c r="B243">
        <v>51321001</v>
      </c>
      <c r="C243">
        <v>5</v>
      </c>
      <c r="D243">
        <v>700100</v>
      </c>
      <c r="E243">
        <v>59001</v>
      </c>
      <c r="F243" t="s">
        <v>115</v>
      </c>
      <c r="G243" t="s">
        <v>69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25">
      <c r="A244" t="str">
        <f t="shared" si="3"/>
        <v>700100590012026M08</v>
      </c>
      <c r="B244">
        <v>51321001</v>
      </c>
      <c r="C244">
        <v>5</v>
      </c>
      <c r="D244">
        <v>700100</v>
      </c>
      <c r="E244">
        <v>59001</v>
      </c>
      <c r="F244" t="s">
        <v>115</v>
      </c>
      <c r="G244" t="s">
        <v>70</v>
      </c>
      <c r="H244">
        <v>326549.88</v>
      </c>
      <c r="I244">
        <v>326549.88</v>
      </c>
      <c r="J244">
        <v>0</v>
      </c>
      <c r="K244">
        <v>0</v>
      </c>
      <c r="L244">
        <v>0</v>
      </c>
    </row>
    <row r="245" spans="1:12" x14ac:dyDescent="0.25">
      <c r="A245" t="str">
        <f t="shared" si="3"/>
        <v>700100590012026M09</v>
      </c>
      <c r="B245">
        <v>51321001</v>
      </c>
      <c r="C245">
        <v>5</v>
      </c>
      <c r="D245">
        <v>700100</v>
      </c>
      <c r="E245">
        <v>59001</v>
      </c>
      <c r="F245" t="s">
        <v>115</v>
      </c>
      <c r="G245" t="s">
        <v>71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x14ac:dyDescent="0.25">
      <c r="A246" t="str">
        <f t="shared" si="3"/>
        <v>700100590012026M10</v>
      </c>
      <c r="B246">
        <v>51321001</v>
      </c>
      <c r="C246">
        <v>5</v>
      </c>
      <c r="D246">
        <v>700100</v>
      </c>
      <c r="E246">
        <v>59001</v>
      </c>
      <c r="F246" t="s">
        <v>115</v>
      </c>
      <c r="G246" t="s">
        <v>72</v>
      </c>
      <c r="H246">
        <v>824952.42</v>
      </c>
      <c r="I246">
        <v>163274.94</v>
      </c>
      <c r="J246">
        <v>398391.48</v>
      </c>
      <c r="K246">
        <v>0</v>
      </c>
      <c r="L246">
        <v>263286</v>
      </c>
    </row>
    <row r="247" spans="1:12" x14ac:dyDescent="0.25">
      <c r="A247" t="str">
        <f t="shared" si="3"/>
        <v>700100590012026M11</v>
      </c>
      <c r="B247">
        <v>51321001</v>
      </c>
      <c r="C247">
        <v>5</v>
      </c>
      <c r="D247">
        <v>700100</v>
      </c>
      <c r="E247">
        <v>59001</v>
      </c>
      <c r="F247" t="s">
        <v>115</v>
      </c>
      <c r="G247" t="s">
        <v>73</v>
      </c>
      <c r="H247">
        <v>218653</v>
      </c>
      <c r="I247">
        <v>0</v>
      </c>
      <c r="J247">
        <v>189399</v>
      </c>
      <c r="K247">
        <v>0</v>
      </c>
      <c r="L247">
        <v>29254</v>
      </c>
    </row>
    <row r="248" spans="1:12" x14ac:dyDescent="0.25">
      <c r="A248" t="str">
        <f t="shared" si="3"/>
        <v>700100590012026M12</v>
      </c>
      <c r="B248">
        <v>51321001</v>
      </c>
      <c r="C248">
        <v>5</v>
      </c>
      <c r="D248">
        <v>700100</v>
      </c>
      <c r="E248">
        <v>59001</v>
      </c>
      <c r="F248" t="s">
        <v>115</v>
      </c>
      <c r="G248" t="s">
        <v>74</v>
      </c>
      <c r="H248">
        <v>437295</v>
      </c>
      <c r="I248">
        <v>0</v>
      </c>
      <c r="J248">
        <v>378798</v>
      </c>
      <c r="K248">
        <v>0</v>
      </c>
      <c r="L248">
        <v>58497</v>
      </c>
    </row>
    <row r="249" spans="1:12" x14ac:dyDescent="0.25">
      <c r="A249" t="str">
        <f t="shared" si="3"/>
        <v>900110591022026M02</v>
      </c>
      <c r="B249">
        <v>51321001</v>
      </c>
      <c r="C249">
        <v>5</v>
      </c>
      <c r="D249">
        <v>900110</v>
      </c>
      <c r="E249">
        <v>59102</v>
      </c>
      <c r="F249" t="s">
        <v>115</v>
      </c>
      <c r="G249" t="s">
        <v>64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x14ac:dyDescent="0.25">
      <c r="A250" t="str">
        <f t="shared" si="3"/>
        <v>900110591022026M03</v>
      </c>
      <c r="B250">
        <v>51321001</v>
      </c>
      <c r="C250">
        <v>5</v>
      </c>
      <c r="D250">
        <v>900110</v>
      </c>
      <c r="E250">
        <v>59102</v>
      </c>
      <c r="F250" t="s">
        <v>115</v>
      </c>
      <c r="G250" t="s">
        <v>65</v>
      </c>
      <c r="H250">
        <v>0</v>
      </c>
      <c r="I250">
        <v>0</v>
      </c>
      <c r="J250">
        <v>0</v>
      </c>
      <c r="K250">
        <v>0</v>
      </c>
      <c r="L250">
        <v>0</v>
      </c>
    </row>
    <row r="251" spans="1:12" x14ac:dyDescent="0.25">
      <c r="A251" t="str">
        <f t="shared" si="3"/>
        <v>900110591022026M04</v>
      </c>
      <c r="B251">
        <v>51321001</v>
      </c>
      <c r="C251">
        <v>5</v>
      </c>
      <c r="D251">
        <v>900110</v>
      </c>
      <c r="E251">
        <v>59102</v>
      </c>
      <c r="F251" t="s">
        <v>115</v>
      </c>
      <c r="G251" t="s">
        <v>66</v>
      </c>
      <c r="H251">
        <v>1263899.29</v>
      </c>
      <c r="I251">
        <v>1263899.29</v>
      </c>
      <c r="J251">
        <v>0</v>
      </c>
      <c r="K251">
        <v>0</v>
      </c>
      <c r="L251">
        <v>0</v>
      </c>
    </row>
    <row r="252" spans="1:12" x14ac:dyDescent="0.25">
      <c r="A252" t="str">
        <f t="shared" si="3"/>
        <v>900110591022026M05</v>
      </c>
      <c r="B252">
        <v>51321001</v>
      </c>
      <c r="C252">
        <v>5</v>
      </c>
      <c r="D252">
        <v>900110</v>
      </c>
      <c r="E252">
        <v>59102</v>
      </c>
      <c r="F252" t="s">
        <v>115</v>
      </c>
      <c r="G252" t="s">
        <v>67</v>
      </c>
      <c r="H252">
        <v>421299.77</v>
      </c>
      <c r="I252">
        <v>421299.77</v>
      </c>
      <c r="J252">
        <v>0</v>
      </c>
      <c r="K252">
        <v>0</v>
      </c>
      <c r="L252">
        <v>0</v>
      </c>
    </row>
    <row r="253" spans="1:12" x14ac:dyDescent="0.25">
      <c r="A253" t="str">
        <f t="shared" si="3"/>
        <v>900110591022026M06</v>
      </c>
      <c r="B253">
        <v>51321001</v>
      </c>
      <c r="C253">
        <v>5</v>
      </c>
      <c r="D253">
        <v>900110</v>
      </c>
      <c r="E253">
        <v>59102</v>
      </c>
      <c r="F253" t="s">
        <v>115</v>
      </c>
      <c r="G253" t="s">
        <v>68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5">
      <c r="A254" t="str">
        <f t="shared" si="3"/>
        <v>900110591022026M07</v>
      </c>
      <c r="B254">
        <v>51321001</v>
      </c>
      <c r="C254">
        <v>5</v>
      </c>
      <c r="D254">
        <v>900110</v>
      </c>
      <c r="E254">
        <v>59102</v>
      </c>
      <c r="F254" t="s">
        <v>115</v>
      </c>
      <c r="G254" t="s">
        <v>69</v>
      </c>
      <c r="H254">
        <v>842599.52</v>
      </c>
      <c r="I254">
        <v>842599.52</v>
      </c>
      <c r="J254">
        <v>0</v>
      </c>
      <c r="K254">
        <v>0</v>
      </c>
      <c r="L254">
        <v>0</v>
      </c>
    </row>
    <row r="255" spans="1:12" x14ac:dyDescent="0.25">
      <c r="A255" t="str">
        <f t="shared" si="3"/>
        <v>900110591022026M08</v>
      </c>
      <c r="B255">
        <v>51321001</v>
      </c>
      <c r="C255">
        <v>5</v>
      </c>
      <c r="D255">
        <v>900110</v>
      </c>
      <c r="E255">
        <v>59102</v>
      </c>
      <c r="F255" t="s">
        <v>115</v>
      </c>
      <c r="G255" t="s">
        <v>70</v>
      </c>
      <c r="H255">
        <v>421299.77</v>
      </c>
      <c r="I255">
        <v>421299.77</v>
      </c>
      <c r="J255">
        <v>0</v>
      </c>
      <c r="K255">
        <v>0</v>
      </c>
      <c r="L255">
        <v>0</v>
      </c>
    </row>
    <row r="256" spans="1:12" x14ac:dyDescent="0.25">
      <c r="A256" t="str">
        <f t="shared" si="3"/>
        <v>900110591022026M09</v>
      </c>
      <c r="B256">
        <v>51321001</v>
      </c>
      <c r="C256">
        <v>5</v>
      </c>
      <c r="D256">
        <v>900110</v>
      </c>
      <c r="E256">
        <v>59102</v>
      </c>
      <c r="F256" t="s">
        <v>115</v>
      </c>
      <c r="G256" t="s">
        <v>71</v>
      </c>
      <c r="H256">
        <v>421299.77</v>
      </c>
      <c r="I256">
        <v>421299.77</v>
      </c>
      <c r="J256">
        <v>0</v>
      </c>
      <c r="K256">
        <v>0</v>
      </c>
      <c r="L256">
        <v>0</v>
      </c>
    </row>
    <row r="257" spans="1:12" x14ac:dyDescent="0.25">
      <c r="A257" t="str">
        <f t="shared" si="3"/>
        <v>900110591022026M10</v>
      </c>
      <c r="B257">
        <v>51321001</v>
      </c>
      <c r="C257">
        <v>5</v>
      </c>
      <c r="D257">
        <v>900110</v>
      </c>
      <c r="E257">
        <v>59102</v>
      </c>
      <c r="F257" t="s">
        <v>115</v>
      </c>
      <c r="G257" t="s">
        <v>72</v>
      </c>
      <c r="H257">
        <v>421301.88</v>
      </c>
      <c r="I257">
        <v>0</v>
      </c>
      <c r="J257">
        <v>421301.88</v>
      </c>
      <c r="K257">
        <v>0</v>
      </c>
      <c r="L257">
        <v>0</v>
      </c>
    </row>
    <row r="258" spans="1:12" x14ac:dyDescent="0.25">
      <c r="A258" t="str">
        <f t="shared" si="3"/>
        <v>900110591022026M11</v>
      </c>
      <c r="B258">
        <v>51321001</v>
      </c>
      <c r="C258">
        <v>5</v>
      </c>
      <c r="D258">
        <v>900110</v>
      </c>
      <c r="E258">
        <v>59102</v>
      </c>
      <c r="F258" t="s">
        <v>115</v>
      </c>
      <c r="G258" t="s">
        <v>73</v>
      </c>
      <c r="H258">
        <v>421300</v>
      </c>
      <c r="I258">
        <v>0</v>
      </c>
      <c r="J258">
        <v>421300</v>
      </c>
      <c r="K258">
        <v>0</v>
      </c>
      <c r="L258">
        <v>0</v>
      </c>
    </row>
    <row r="259" spans="1:12" x14ac:dyDescent="0.25">
      <c r="A259" t="str">
        <f t="shared" si="3"/>
        <v>900110591022026M12</v>
      </c>
      <c r="B259">
        <v>51321001</v>
      </c>
      <c r="C259">
        <v>5</v>
      </c>
      <c r="D259">
        <v>900110</v>
      </c>
      <c r="E259">
        <v>59102</v>
      </c>
      <c r="F259" t="s">
        <v>115</v>
      </c>
      <c r="G259" t="s">
        <v>74</v>
      </c>
      <c r="H259">
        <v>842600</v>
      </c>
      <c r="I259">
        <v>0</v>
      </c>
      <c r="J259">
        <v>842600</v>
      </c>
      <c r="K259">
        <v>0</v>
      </c>
      <c r="L259">
        <v>0</v>
      </c>
    </row>
    <row r="260" spans="1:12" x14ac:dyDescent="0.25">
      <c r="A260" t="str">
        <f t="shared" si="3"/>
        <v>50100690012026M02</v>
      </c>
      <c r="B260">
        <v>51321001</v>
      </c>
      <c r="C260">
        <v>6</v>
      </c>
      <c r="D260">
        <v>50100</v>
      </c>
      <c r="E260">
        <v>69001</v>
      </c>
      <c r="F260" t="s">
        <v>115</v>
      </c>
      <c r="G260" t="s">
        <v>64</v>
      </c>
      <c r="H260">
        <v>20800</v>
      </c>
      <c r="I260">
        <v>20800</v>
      </c>
      <c r="J260">
        <v>0</v>
      </c>
      <c r="K260">
        <v>0</v>
      </c>
      <c r="L260">
        <v>0</v>
      </c>
    </row>
    <row r="261" spans="1:12" x14ac:dyDescent="0.25">
      <c r="A261" t="str">
        <f t="shared" si="3"/>
        <v>50100690012026M03</v>
      </c>
      <c r="B261">
        <v>51321001</v>
      </c>
      <c r="C261">
        <v>6</v>
      </c>
      <c r="D261">
        <v>50100</v>
      </c>
      <c r="E261">
        <v>69001</v>
      </c>
      <c r="F261" t="s">
        <v>115</v>
      </c>
      <c r="G261" t="s">
        <v>65</v>
      </c>
      <c r="H261">
        <v>20800</v>
      </c>
      <c r="I261">
        <v>20800</v>
      </c>
      <c r="J261">
        <v>0</v>
      </c>
      <c r="K261">
        <v>0</v>
      </c>
      <c r="L261">
        <v>0</v>
      </c>
    </row>
    <row r="262" spans="1:12" x14ac:dyDescent="0.25">
      <c r="A262" t="str">
        <f t="shared" si="3"/>
        <v>50100690012026M04</v>
      </c>
      <c r="B262">
        <v>51321001</v>
      </c>
      <c r="C262">
        <v>6</v>
      </c>
      <c r="D262">
        <v>50100</v>
      </c>
      <c r="E262">
        <v>69001</v>
      </c>
      <c r="F262" t="s">
        <v>115</v>
      </c>
      <c r="G262" t="s">
        <v>66</v>
      </c>
      <c r="H262">
        <v>20800</v>
      </c>
      <c r="I262">
        <v>20800</v>
      </c>
      <c r="J262">
        <v>0</v>
      </c>
      <c r="K262">
        <v>0</v>
      </c>
      <c r="L262">
        <v>0</v>
      </c>
    </row>
    <row r="263" spans="1:12" x14ac:dyDescent="0.25">
      <c r="A263" t="str">
        <f t="shared" si="3"/>
        <v>50100690012026M05</v>
      </c>
      <c r="B263">
        <v>51321001</v>
      </c>
      <c r="C263">
        <v>6</v>
      </c>
      <c r="D263">
        <v>50100</v>
      </c>
      <c r="E263">
        <v>69001</v>
      </c>
      <c r="F263" t="s">
        <v>115</v>
      </c>
      <c r="G263" t="s">
        <v>67</v>
      </c>
      <c r="H263">
        <v>20800</v>
      </c>
      <c r="I263">
        <v>20800</v>
      </c>
      <c r="J263">
        <v>0</v>
      </c>
      <c r="K263">
        <v>0</v>
      </c>
      <c r="L263">
        <v>0</v>
      </c>
    </row>
    <row r="264" spans="1:12" x14ac:dyDescent="0.25">
      <c r="A264" t="str">
        <f t="shared" si="3"/>
        <v>50100690012026M06</v>
      </c>
      <c r="B264">
        <v>51321001</v>
      </c>
      <c r="C264">
        <v>6</v>
      </c>
      <c r="D264">
        <v>50100</v>
      </c>
      <c r="E264">
        <v>69001</v>
      </c>
      <c r="F264" t="s">
        <v>115</v>
      </c>
      <c r="G264" t="s">
        <v>68</v>
      </c>
      <c r="H264">
        <v>20800</v>
      </c>
      <c r="I264">
        <v>20800</v>
      </c>
      <c r="J264">
        <v>0</v>
      </c>
      <c r="K264">
        <v>0</v>
      </c>
      <c r="L264">
        <v>0</v>
      </c>
    </row>
    <row r="265" spans="1:12" x14ac:dyDescent="0.25">
      <c r="A265" t="str">
        <f t="shared" si="3"/>
        <v>50100690012026M07</v>
      </c>
      <c r="B265">
        <v>51321001</v>
      </c>
      <c r="C265">
        <v>6</v>
      </c>
      <c r="D265">
        <v>50100</v>
      </c>
      <c r="E265">
        <v>69001</v>
      </c>
      <c r="F265" t="s">
        <v>115</v>
      </c>
      <c r="G265" t="s">
        <v>69</v>
      </c>
      <c r="H265">
        <v>20800</v>
      </c>
      <c r="I265">
        <v>20800</v>
      </c>
      <c r="J265">
        <v>0</v>
      </c>
      <c r="K265">
        <v>0</v>
      </c>
      <c r="L265">
        <v>0</v>
      </c>
    </row>
    <row r="266" spans="1:12" x14ac:dyDescent="0.25">
      <c r="A266" t="str">
        <f t="shared" si="3"/>
        <v>50100690012026M08</v>
      </c>
      <c r="B266">
        <v>51321001</v>
      </c>
      <c r="C266">
        <v>6</v>
      </c>
      <c r="D266">
        <v>50100</v>
      </c>
      <c r="E266">
        <v>69001</v>
      </c>
      <c r="F266" t="s">
        <v>115</v>
      </c>
      <c r="G266" t="s">
        <v>70</v>
      </c>
      <c r="H266">
        <v>20800</v>
      </c>
      <c r="I266">
        <v>20800</v>
      </c>
      <c r="J266">
        <v>0</v>
      </c>
      <c r="K266">
        <v>0</v>
      </c>
      <c r="L266">
        <v>0</v>
      </c>
    </row>
    <row r="267" spans="1:12" x14ac:dyDescent="0.25">
      <c r="A267" t="str">
        <f t="shared" ref="A267:A330" si="4">D267&amp;E267&amp;G267</f>
        <v>50100690012026M09</v>
      </c>
      <c r="B267">
        <v>51321001</v>
      </c>
      <c r="C267">
        <v>6</v>
      </c>
      <c r="D267">
        <v>50100</v>
      </c>
      <c r="E267">
        <v>69001</v>
      </c>
      <c r="F267" t="s">
        <v>115</v>
      </c>
      <c r="G267" t="s">
        <v>71</v>
      </c>
      <c r="H267">
        <v>20800</v>
      </c>
      <c r="I267">
        <v>20800</v>
      </c>
      <c r="J267">
        <v>0</v>
      </c>
      <c r="K267">
        <v>0</v>
      </c>
      <c r="L267">
        <v>0</v>
      </c>
    </row>
    <row r="268" spans="1:12" x14ac:dyDescent="0.25">
      <c r="A268" t="str">
        <f t="shared" si="4"/>
        <v>50100690012026M10</v>
      </c>
      <c r="B268">
        <v>51321001</v>
      </c>
      <c r="C268">
        <v>6</v>
      </c>
      <c r="D268">
        <v>50100</v>
      </c>
      <c r="E268">
        <v>69001</v>
      </c>
      <c r="F268" t="s">
        <v>115</v>
      </c>
      <c r="G268" t="s">
        <v>72</v>
      </c>
      <c r="H268">
        <v>20800</v>
      </c>
      <c r="I268">
        <v>20800</v>
      </c>
      <c r="J268">
        <v>0</v>
      </c>
      <c r="K268">
        <v>0</v>
      </c>
      <c r="L268">
        <v>0</v>
      </c>
    </row>
    <row r="269" spans="1:12" x14ac:dyDescent="0.25">
      <c r="A269" t="str">
        <f t="shared" si="4"/>
        <v>50100690012026M11</v>
      </c>
      <c r="B269">
        <v>51321001</v>
      </c>
      <c r="C269">
        <v>6</v>
      </c>
      <c r="D269">
        <v>50100</v>
      </c>
      <c r="E269">
        <v>69001</v>
      </c>
      <c r="F269" t="s">
        <v>115</v>
      </c>
      <c r="G269" t="s">
        <v>73</v>
      </c>
      <c r="H269">
        <v>20800</v>
      </c>
      <c r="I269">
        <v>0</v>
      </c>
      <c r="J269">
        <v>20800</v>
      </c>
      <c r="K269">
        <v>0</v>
      </c>
      <c r="L269">
        <v>0</v>
      </c>
    </row>
    <row r="270" spans="1:12" x14ac:dyDescent="0.25">
      <c r="A270" t="str">
        <f t="shared" si="4"/>
        <v>50100690012026M12</v>
      </c>
      <c r="B270">
        <v>51321001</v>
      </c>
      <c r="C270">
        <v>6</v>
      </c>
      <c r="D270">
        <v>50100</v>
      </c>
      <c r="E270">
        <v>69001</v>
      </c>
      <c r="F270" t="s">
        <v>115</v>
      </c>
      <c r="G270" t="s">
        <v>74</v>
      </c>
      <c r="H270">
        <v>41600</v>
      </c>
      <c r="I270">
        <v>0</v>
      </c>
      <c r="J270">
        <v>41600</v>
      </c>
      <c r="K270">
        <v>0</v>
      </c>
      <c r="L270">
        <v>0</v>
      </c>
    </row>
    <row r="271" spans="1:12" x14ac:dyDescent="0.25">
      <c r="A271" t="str">
        <f t="shared" si="4"/>
        <v>150900680032026M02</v>
      </c>
      <c r="B271">
        <v>51321001</v>
      </c>
      <c r="C271">
        <v>6</v>
      </c>
      <c r="D271">
        <v>150900</v>
      </c>
      <c r="E271">
        <v>68003</v>
      </c>
      <c r="F271" t="s">
        <v>115</v>
      </c>
      <c r="G271" t="s">
        <v>64</v>
      </c>
      <c r="H271">
        <v>98599.99</v>
      </c>
      <c r="I271">
        <v>98599.99</v>
      </c>
      <c r="J271">
        <v>0</v>
      </c>
      <c r="K271">
        <v>0</v>
      </c>
      <c r="L271">
        <v>0</v>
      </c>
    </row>
    <row r="272" spans="1:12" x14ac:dyDescent="0.25">
      <c r="A272" t="str">
        <f t="shared" si="4"/>
        <v>150900680032026M03</v>
      </c>
      <c r="B272">
        <v>51321001</v>
      </c>
      <c r="C272">
        <v>6</v>
      </c>
      <c r="D272">
        <v>150900</v>
      </c>
      <c r="E272">
        <v>68003</v>
      </c>
      <c r="F272" t="s">
        <v>115</v>
      </c>
      <c r="G272" t="s">
        <v>65</v>
      </c>
      <c r="H272">
        <v>98599.99</v>
      </c>
      <c r="I272">
        <v>98599.99</v>
      </c>
      <c r="J272">
        <v>0</v>
      </c>
      <c r="K272">
        <v>0</v>
      </c>
      <c r="L272">
        <v>0</v>
      </c>
    </row>
    <row r="273" spans="1:12" x14ac:dyDescent="0.25">
      <c r="A273" t="str">
        <f t="shared" si="4"/>
        <v>150900680032026M04</v>
      </c>
      <c r="B273">
        <v>51321001</v>
      </c>
      <c r="C273">
        <v>6</v>
      </c>
      <c r="D273">
        <v>150900</v>
      </c>
      <c r="E273">
        <v>68003</v>
      </c>
      <c r="F273" t="s">
        <v>115</v>
      </c>
      <c r="G273" t="s">
        <v>66</v>
      </c>
      <c r="H273">
        <v>98599.99</v>
      </c>
      <c r="I273">
        <v>98599.99</v>
      </c>
      <c r="J273">
        <v>0</v>
      </c>
      <c r="K273">
        <v>0</v>
      </c>
      <c r="L273">
        <v>0</v>
      </c>
    </row>
    <row r="274" spans="1:12" x14ac:dyDescent="0.25">
      <c r="A274" t="str">
        <f t="shared" si="4"/>
        <v>150900680032026M05</v>
      </c>
      <c r="B274">
        <v>51321001</v>
      </c>
      <c r="C274">
        <v>6</v>
      </c>
      <c r="D274">
        <v>150900</v>
      </c>
      <c r="E274">
        <v>68003</v>
      </c>
      <c r="F274" t="s">
        <v>115</v>
      </c>
      <c r="G274" t="s">
        <v>67</v>
      </c>
      <c r="H274">
        <v>98599.99</v>
      </c>
      <c r="I274">
        <v>98599.99</v>
      </c>
      <c r="J274">
        <v>0</v>
      </c>
      <c r="K274">
        <v>0</v>
      </c>
      <c r="L274">
        <v>0</v>
      </c>
    </row>
    <row r="275" spans="1:12" x14ac:dyDescent="0.25">
      <c r="A275" t="str">
        <f t="shared" si="4"/>
        <v>150900680032026M06</v>
      </c>
      <c r="B275">
        <v>51321001</v>
      </c>
      <c r="C275">
        <v>6</v>
      </c>
      <c r="D275">
        <v>150900</v>
      </c>
      <c r="E275">
        <v>68003</v>
      </c>
      <c r="F275" t="s">
        <v>115</v>
      </c>
      <c r="G275" t="s">
        <v>68</v>
      </c>
      <c r="H275">
        <v>98599.99</v>
      </c>
      <c r="I275">
        <v>98599.99</v>
      </c>
      <c r="J275">
        <v>0</v>
      </c>
      <c r="K275">
        <v>0</v>
      </c>
      <c r="L275">
        <v>0</v>
      </c>
    </row>
    <row r="276" spans="1:12" x14ac:dyDescent="0.25">
      <c r="A276" t="str">
        <f t="shared" si="4"/>
        <v>150900680032026M07</v>
      </c>
      <c r="B276">
        <v>51321001</v>
      </c>
      <c r="C276">
        <v>6</v>
      </c>
      <c r="D276">
        <v>150900</v>
      </c>
      <c r="E276">
        <v>68003</v>
      </c>
      <c r="F276" t="s">
        <v>115</v>
      </c>
      <c r="G276" t="s">
        <v>69</v>
      </c>
      <c r="H276">
        <v>98599.99</v>
      </c>
      <c r="I276">
        <v>98599.99</v>
      </c>
      <c r="J276">
        <v>0</v>
      </c>
      <c r="K276">
        <v>0</v>
      </c>
      <c r="L276">
        <v>0</v>
      </c>
    </row>
    <row r="277" spans="1:12" x14ac:dyDescent="0.25">
      <c r="A277" t="str">
        <f t="shared" si="4"/>
        <v>150900680032026M08</v>
      </c>
      <c r="B277">
        <v>51321001</v>
      </c>
      <c r="C277">
        <v>6</v>
      </c>
      <c r="D277">
        <v>150900</v>
      </c>
      <c r="E277">
        <v>68003</v>
      </c>
      <c r="F277" t="s">
        <v>115</v>
      </c>
      <c r="G277" t="s">
        <v>70</v>
      </c>
      <c r="H277">
        <v>98599.99</v>
      </c>
      <c r="I277">
        <v>98599.99</v>
      </c>
      <c r="J277">
        <v>0</v>
      </c>
      <c r="K277">
        <v>0</v>
      </c>
      <c r="L277">
        <v>0</v>
      </c>
    </row>
    <row r="278" spans="1:12" x14ac:dyDescent="0.25">
      <c r="A278" t="str">
        <f t="shared" si="4"/>
        <v>150900680032026M09</v>
      </c>
      <c r="B278">
        <v>51321001</v>
      </c>
      <c r="C278">
        <v>6</v>
      </c>
      <c r="D278">
        <v>150900</v>
      </c>
      <c r="E278">
        <v>68003</v>
      </c>
      <c r="F278" t="s">
        <v>115</v>
      </c>
      <c r="G278" t="s">
        <v>71</v>
      </c>
      <c r="H278">
        <v>98599.99</v>
      </c>
      <c r="I278">
        <v>98599.99</v>
      </c>
      <c r="J278">
        <v>0</v>
      </c>
      <c r="K278">
        <v>0</v>
      </c>
      <c r="L278">
        <v>0</v>
      </c>
    </row>
    <row r="279" spans="1:12" x14ac:dyDescent="0.25">
      <c r="A279" t="str">
        <f t="shared" si="4"/>
        <v>150900680032026M10</v>
      </c>
      <c r="B279">
        <v>51321001</v>
      </c>
      <c r="C279">
        <v>6</v>
      </c>
      <c r="D279">
        <v>150900</v>
      </c>
      <c r="E279">
        <v>68003</v>
      </c>
      <c r="F279" t="s">
        <v>115</v>
      </c>
      <c r="G279" t="s">
        <v>72</v>
      </c>
      <c r="H279">
        <v>98600.08</v>
      </c>
      <c r="I279">
        <v>98599.99</v>
      </c>
      <c r="J279">
        <v>0.09</v>
      </c>
      <c r="K279">
        <v>0</v>
      </c>
      <c r="L279">
        <v>0</v>
      </c>
    </row>
    <row r="280" spans="1:12" x14ac:dyDescent="0.25">
      <c r="A280" t="str">
        <f t="shared" si="4"/>
        <v>150900680032026M11</v>
      </c>
      <c r="B280">
        <v>51321001</v>
      </c>
      <c r="C280">
        <v>6</v>
      </c>
      <c r="D280">
        <v>150900</v>
      </c>
      <c r="E280">
        <v>68003</v>
      </c>
      <c r="F280" t="s">
        <v>115</v>
      </c>
      <c r="G280" t="s">
        <v>73</v>
      </c>
      <c r="H280">
        <v>98600</v>
      </c>
      <c r="I280">
        <v>0</v>
      </c>
      <c r="J280">
        <v>98600</v>
      </c>
      <c r="K280">
        <v>0</v>
      </c>
      <c r="L280">
        <v>0</v>
      </c>
    </row>
    <row r="281" spans="1:12" x14ac:dyDescent="0.25">
      <c r="A281" t="str">
        <f t="shared" si="4"/>
        <v>150900680032026M12</v>
      </c>
      <c r="B281">
        <v>51321001</v>
      </c>
      <c r="C281">
        <v>6</v>
      </c>
      <c r="D281">
        <v>150900</v>
      </c>
      <c r="E281">
        <v>68003</v>
      </c>
      <c r="F281" t="s">
        <v>115</v>
      </c>
      <c r="G281" t="s">
        <v>74</v>
      </c>
      <c r="H281">
        <v>197200</v>
      </c>
      <c r="I281">
        <v>0</v>
      </c>
      <c r="J281">
        <v>197200</v>
      </c>
      <c r="K281">
        <v>0</v>
      </c>
      <c r="L281">
        <v>0</v>
      </c>
    </row>
    <row r="282" spans="1:12" x14ac:dyDescent="0.25">
      <c r="A282" t="str">
        <f t="shared" si="4"/>
        <v>380200659012026M02</v>
      </c>
      <c r="B282">
        <v>51321001</v>
      </c>
      <c r="C282">
        <v>6</v>
      </c>
      <c r="D282">
        <v>380200</v>
      </c>
      <c r="E282">
        <v>65901</v>
      </c>
      <c r="F282" t="s">
        <v>115</v>
      </c>
      <c r="G282" t="s">
        <v>64</v>
      </c>
      <c r="H282">
        <v>57999.97</v>
      </c>
      <c r="I282">
        <v>57999.97</v>
      </c>
      <c r="J282">
        <v>0</v>
      </c>
      <c r="K282">
        <v>0</v>
      </c>
      <c r="L282">
        <v>0</v>
      </c>
    </row>
    <row r="283" spans="1:12" x14ac:dyDescent="0.25">
      <c r="A283" t="str">
        <f t="shared" si="4"/>
        <v>380200659012026M03</v>
      </c>
      <c r="B283">
        <v>51321001</v>
      </c>
      <c r="C283">
        <v>6</v>
      </c>
      <c r="D283">
        <v>380200</v>
      </c>
      <c r="E283">
        <v>65901</v>
      </c>
      <c r="F283" t="s">
        <v>115</v>
      </c>
      <c r="G283" t="s">
        <v>65</v>
      </c>
      <c r="H283">
        <v>57999.97</v>
      </c>
      <c r="I283">
        <v>57999.97</v>
      </c>
      <c r="J283">
        <v>0</v>
      </c>
      <c r="K283">
        <v>0</v>
      </c>
      <c r="L283">
        <v>0</v>
      </c>
    </row>
    <row r="284" spans="1:12" x14ac:dyDescent="0.25">
      <c r="A284" t="str">
        <f t="shared" si="4"/>
        <v>380200659012026M04</v>
      </c>
      <c r="B284">
        <v>51321001</v>
      </c>
      <c r="C284">
        <v>6</v>
      </c>
      <c r="D284">
        <v>380200</v>
      </c>
      <c r="E284">
        <v>65901</v>
      </c>
      <c r="F284" t="s">
        <v>115</v>
      </c>
      <c r="G284" t="s">
        <v>66</v>
      </c>
      <c r="H284">
        <v>57999.97</v>
      </c>
      <c r="I284">
        <v>57999.97</v>
      </c>
      <c r="J284">
        <v>0</v>
      </c>
      <c r="K284">
        <v>0</v>
      </c>
      <c r="L284">
        <v>0</v>
      </c>
    </row>
    <row r="285" spans="1:12" x14ac:dyDescent="0.25">
      <c r="A285" t="str">
        <f t="shared" si="4"/>
        <v>380200659012026M05</v>
      </c>
      <c r="B285">
        <v>51321001</v>
      </c>
      <c r="C285">
        <v>6</v>
      </c>
      <c r="D285">
        <v>380200</v>
      </c>
      <c r="E285">
        <v>65901</v>
      </c>
      <c r="F285" t="s">
        <v>115</v>
      </c>
      <c r="G285" t="s">
        <v>67</v>
      </c>
      <c r="H285">
        <v>57999.97</v>
      </c>
      <c r="I285">
        <v>57999.97</v>
      </c>
      <c r="J285">
        <v>0</v>
      </c>
      <c r="K285">
        <v>0</v>
      </c>
      <c r="L285">
        <v>0</v>
      </c>
    </row>
    <row r="286" spans="1:12" x14ac:dyDescent="0.25">
      <c r="A286" t="str">
        <f t="shared" si="4"/>
        <v>380200659012026M06</v>
      </c>
      <c r="B286">
        <v>51321001</v>
      </c>
      <c r="C286">
        <v>6</v>
      </c>
      <c r="D286">
        <v>380200</v>
      </c>
      <c r="E286">
        <v>65901</v>
      </c>
      <c r="F286" t="s">
        <v>115</v>
      </c>
      <c r="G286" t="s">
        <v>68</v>
      </c>
      <c r="H286">
        <v>57999.97</v>
      </c>
      <c r="I286">
        <v>57999.97</v>
      </c>
      <c r="J286">
        <v>0</v>
      </c>
      <c r="K286">
        <v>0</v>
      </c>
      <c r="L286">
        <v>0</v>
      </c>
    </row>
    <row r="287" spans="1:12" x14ac:dyDescent="0.25">
      <c r="A287" t="str">
        <f t="shared" si="4"/>
        <v>380200659012026M07</v>
      </c>
      <c r="B287">
        <v>51321001</v>
      </c>
      <c r="C287">
        <v>6</v>
      </c>
      <c r="D287">
        <v>380200</v>
      </c>
      <c r="E287">
        <v>65901</v>
      </c>
      <c r="F287" t="s">
        <v>115</v>
      </c>
      <c r="G287" t="s">
        <v>69</v>
      </c>
      <c r="H287">
        <v>57999.97</v>
      </c>
      <c r="I287">
        <v>57999.97</v>
      </c>
      <c r="J287">
        <v>0</v>
      </c>
      <c r="K287">
        <v>0</v>
      </c>
      <c r="L287">
        <v>0</v>
      </c>
    </row>
    <row r="288" spans="1:12" x14ac:dyDescent="0.25">
      <c r="A288" t="str">
        <f t="shared" si="4"/>
        <v>380200659012026M08</v>
      </c>
      <c r="B288">
        <v>51321001</v>
      </c>
      <c r="C288">
        <v>6</v>
      </c>
      <c r="D288">
        <v>380200</v>
      </c>
      <c r="E288">
        <v>65901</v>
      </c>
      <c r="F288" t="s">
        <v>115</v>
      </c>
      <c r="G288" t="s">
        <v>70</v>
      </c>
      <c r="H288">
        <v>57999.97</v>
      </c>
      <c r="I288">
        <v>57999.97</v>
      </c>
      <c r="J288">
        <v>0</v>
      </c>
      <c r="K288">
        <v>0</v>
      </c>
      <c r="L288">
        <v>0</v>
      </c>
    </row>
    <row r="289" spans="1:12" x14ac:dyDescent="0.25">
      <c r="A289" t="str">
        <f t="shared" si="4"/>
        <v>380200659012026M09</v>
      </c>
      <c r="B289">
        <v>51321001</v>
      </c>
      <c r="C289">
        <v>6</v>
      </c>
      <c r="D289">
        <v>380200</v>
      </c>
      <c r="E289">
        <v>65901</v>
      </c>
      <c r="F289" t="s">
        <v>115</v>
      </c>
      <c r="G289" t="s">
        <v>71</v>
      </c>
      <c r="H289">
        <v>57999.97</v>
      </c>
      <c r="I289">
        <v>57999.97</v>
      </c>
      <c r="J289">
        <v>0</v>
      </c>
      <c r="K289">
        <v>0</v>
      </c>
      <c r="L289">
        <v>0</v>
      </c>
    </row>
    <row r="290" spans="1:12" x14ac:dyDescent="0.25">
      <c r="A290" t="str">
        <f t="shared" si="4"/>
        <v>380200659012026M10</v>
      </c>
      <c r="B290">
        <v>51321001</v>
      </c>
      <c r="C290">
        <v>6</v>
      </c>
      <c r="D290">
        <v>380200</v>
      </c>
      <c r="E290">
        <v>65901</v>
      </c>
      <c r="F290" t="s">
        <v>115</v>
      </c>
      <c r="G290" t="s">
        <v>72</v>
      </c>
      <c r="H290">
        <v>58000.24</v>
      </c>
      <c r="I290">
        <v>57999.97</v>
      </c>
      <c r="J290">
        <v>0.27</v>
      </c>
      <c r="K290">
        <v>0</v>
      </c>
      <c r="L290">
        <v>0</v>
      </c>
    </row>
    <row r="291" spans="1:12" x14ac:dyDescent="0.25">
      <c r="A291" t="str">
        <f t="shared" si="4"/>
        <v>380200659012026M11</v>
      </c>
      <c r="B291">
        <v>51321001</v>
      </c>
      <c r="C291">
        <v>6</v>
      </c>
      <c r="D291">
        <v>380200</v>
      </c>
      <c r="E291">
        <v>65901</v>
      </c>
      <c r="F291" t="s">
        <v>115</v>
      </c>
      <c r="G291" t="s">
        <v>73</v>
      </c>
      <c r="H291">
        <v>58000</v>
      </c>
      <c r="I291">
        <v>0</v>
      </c>
      <c r="J291">
        <v>58000</v>
      </c>
      <c r="K291">
        <v>0</v>
      </c>
      <c r="L291">
        <v>0</v>
      </c>
    </row>
    <row r="292" spans="1:12" x14ac:dyDescent="0.25">
      <c r="A292" t="str">
        <f t="shared" si="4"/>
        <v>380200659012026M12</v>
      </c>
      <c r="B292">
        <v>51321001</v>
      </c>
      <c r="C292">
        <v>6</v>
      </c>
      <c r="D292">
        <v>380200</v>
      </c>
      <c r="E292">
        <v>65901</v>
      </c>
      <c r="F292" t="s">
        <v>115</v>
      </c>
      <c r="G292" t="s">
        <v>74</v>
      </c>
      <c r="H292">
        <v>116000</v>
      </c>
      <c r="I292">
        <v>0</v>
      </c>
      <c r="J292">
        <v>116000</v>
      </c>
      <c r="K292">
        <v>0</v>
      </c>
      <c r="L292">
        <v>0</v>
      </c>
    </row>
    <row r="293" spans="1:12" x14ac:dyDescent="0.25">
      <c r="A293" t="str">
        <f t="shared" si="4"/>
        <v>800201658012026M02</v>
      </c>
      <c r="B293">
        <v>51321001</v>
      </c>
      <c r="C293">
        <v>6</v>
      </c>
      <c r="D293">
        <v>800201</v>
      </c>
      <c r="E293">
        <v>65801</v>
      </c>
      <c r="F293" t="s">
        <v>115</v>
      </c>
      <c r="G293" t="s">
        <v>64</v>
      </c>
      <c r="H293">
        <v>22924.27</v>
      </c>
      <c r="I293">
        <v>22924.27</v>
      </c>
      <c r="J293">
        <v>0</v>
      </c>
      <c r="K293">
        <v>0</v>
      </c>
      <c r="L293">
        <v>0</v>
      </c>
    </row>
    <row r="294" spans="1:12" x14ac:dyDescent="0.25">
      <c r="A294" t="str">
        <f t="shared" si="4"/>
        <v>800201658012026M03</v>
      </c>
      <c r="B294">
        <v>51321001</v>
      </c>
      <c r="C294">
        <v>6</v>
      </c>
      <c r="D294">
        <v>800201</v>
      </c>
      <c r="E294">
        <v>65801</v>
      </c>
      <c r="F294" t="s">
        <v>115</v>
      </c>
      <c r="G294" t="s">
        <v>65</v>
      </c>
      <c r="H294">
        <v>22924.27</v>
      </c>
      <c r="I294">
        <v>22924.27</v>
      </c>
      <c r="J294">
        <v>0</v>
      </c>
      <c r="K294">
        <v>0</v>
      </c>
      <c r="L294">
        <v>0</v>
      </c>
    </row>
    <row r="295" spans="1:12" x14ac:dyDescent="0.25">
      <c r="A295" t="str">
        <f t="shared" si="4"/>
        <v>800201658012026M04</v>
      </c>
      <c r="B295">
        <v>51321001</v>
      </c>
      <c r="C295">
        <v>6</v>
      </c>
      <c r="D295">
        <v>800201</v>
      </c>
      <c r="E295">
        <v>65801</v>
      </c>
      <c r="F295" t="s">
        <v>115</v>
      </c>
      <c r="G295" t="s">
        <v>66</v>
      </c>
      <c r="H295">
        <v>22924.27</v>
      </c>
      <c r="I295">
        <v>22924.27</v>
      </c>
      <c r="J295">
        <v>0</v>
      </c>
      <c r="K295">
        <v>0</v>
      </c>
      <c r="L295">
        <v>0</v>
      </c>
    </row>
    <row r="296" spans="1:12" x14ac:dyDescent="0.25">
      <c r="A296" t="str">
        <f t="shared" si="4"/>
        <v>800201658012026M05</v>
      </c>
      <c r="B296">
        <v>51321001</v>
      </c>
      <c r="C296">
        <v>6</v>
      </c>
      <c r="D296">
        <v>800201</v>
      </c>
      <c r="E296">
        <v>65801</v>
      </c>
      <c r="F296" t="s">
        <v>115</v>
      </c>
      <c r="G296" t="s">
        <v>67</v>
      </c>
      <c r="H296">
        <v>22924.27</v>
      </c>
      <c r="I296">
        <v>22924.27</v>
      </c>
      <c r="J296">
        <v>0</v>
      </c>
      <c r="K296">
        <v>0</v>
      </c>
      <c r="L296">
        <v>0</v>
      </c>
    </row>
    <row r="297" spans="1:12" x14ac:dyDescent="0.25">
      <c r="A297" t="str">
        <f t="shared" si="4"/>
        <v>800201658012026M06</v>
      </c>
      <c r="B297">
        <v>51321001</v>
      </c>
      <c r="C297">
        <v>6</v>
      </c>
      <c r="D297">
        <v>800201</v>
      </c>
      <c r="E297">
        <v>65801</v>
      </c>
      <c r="F297" t="s">
        <v>115</v>
      </c>
      <c r="G297" t="s">
        <v>68</v>
      </c>
      <c r="H297">
        <v>22924.27</v>
      </c>
      <c r="I297">
        <v>22924.27</v>
      </c>
      <c r="J297">
        <v>0</v>
      </c>
      <c r="K297">
        <v>0</v>
      </c>
      <c r="L297">
        <v>0</v>
      </c>
    </row>
    <row r="298" spans="1:12" x14ac:dyDescent="0.25">
      <c r="A298" t="str">
        <f t="shared" si="4"/>
        <v>800201658012026M07</v>
      </c>
      <c r="B298">
        <v>51321001</v>
      </c>
      <c r="C298">
        <v>6</v>
      </c>
      <c r="D298">
        <v>800201</v>
      </c>
      <c r="E298">
        <v>65801</v>
      </c>
      <c r="F298" t="s">
        <v>115</v>
      </c>
      <c r="G298" t="s">
        <v>69</v>
      </c>
      <c r="H298">
        <v>22924.27</v>
      </c>
      <c r="I298">
        <v>22924.27</v>
      </c>
      <c r="J298">
        <v>0</v>
      </c>
      <c r="K298">
        <v>0</v>
      </c>
      <c r="L298">
        <v>0</v>
      </c>
    </row>
    <row r="299" spans="1:12" x14ac:dyDescent="0.25">
      <c r="A299" t="str">
        <f t="shared" si="4"/>
        <v>800201658012026M08</v>
      </c>
      <c r="B299">
        <v>51321001</v>
      </c>
      <c r="C299">
        <v>6</v>
      </c>
      <c r="D299">
        <v>800201</v>
      </c>
      <c r="E299">
        <v>65801</v>
      </c>
      <c r="F299" t="s">
        <v>115</v>
      </c>
      <c r="G299" t="s">
        <v>70</v>
      </c>
      <c r="H299">
        <v>22924.27</v>
      </c>
      <c r="I299">
        <v>22924.27</v>
      </c>
      <c r="J299">
        <v>0</v>
      </c>
      <c r="K299">
        <v>0</v>
      </c>
      <c r="L299">
        <v>0</v>
      </c>
    </row>
    <row r="300" spans="1:12" x14ac:dyDescent="0.25">
      <c r="A300" t="str">
        <f t="shared" si="4"/>
        <v>800201658012026M09</v>
      </c>
      <c r="B300">
        <v>51321001</v>
      </c>
      <c r="C300">
        <v>6</v>
      </c>
      <c r="D300">
        <v>800201</v>
      </c>
      <c r="E300">
        <v>65801</v>
      </c>
      <c r="F300" t="s">
        <v>115</v>
      </c>
      <c r="G300" t="s">
        <v>71</v>
      </c>
      <c r="H300">
        <v>22924.27</v>
      </c>
      <c r="I300">
        <v>22924.27</v>
      </c>
      <c r="J300">
        <v>0</v>
      </c>
      <c r="K300">
        <v>0</v>
      </c>
      <c r="L300">
        <v>0</v>
      </c>
    </row>
    <row r="301" spans="1:12" x14ac:dyDescent="0.25">
      <c r="A301" t="str">
        <f t="shared" si="4"/>
        <v>800201658012026M10</v>
      </c>
      <c r="B301">
        <v>51321001</v>
      </c>
      <c r="C301">
        <v>6</v>
      </c>
      <c r="D301">
        <v>800201</v>
      </c>
      <c r="E301">
        <v>65801</v>
      </c>
      <c r="F301" t="s">
        <v>115</v>
      </c>
      <c r="G301" t="s">
        <v>72</v>
      </c>
      <c r="H301">
        <v>22930.84</v>
      </c>
      <c r="I301">
        <v>22924.27</v>
      </c>
      <c r="J301">
        <v>6.57</v>
      </c>
      <c r="K301">
        <v>0</v>
      </c>
      <c r="L301">
        <v>0</v>
      </c>
    </row>
    <row r="302" spans="1:12" x14ac:dyDescent="0.25">
      <c r="A302" t="str">
        <f t="shared" si="4"/>
        <v>800201658012026M11</v>
      </c>
      <c r="B302">
        <v>51321001</v>
      </c>
      <c r="C302">
        <v>6</v>
      </c>
      <c r="D302">
        <v>800201</v>
      </c>
      <c r="E302">
        <v>65801</v>
      </c>
      <c r="F302" t="s">
        <v>115</v>
      </c>
      <c r="G302" t="s">
        <v>73</v>
      </c>
      <c r="H302">
        <v>22925</v>
      </c>
      <c r="I302">
        <v>0</v>
      </c>
      <c r="J302">
        <v>22925</v>
      </c>
      <c r="K302">
        <v>0</v>
      </c>
      <c r="L302">
        <v>0</v>
      </c>
    </row>
    <row r="303" spans="1:12" x14ac:dyDescent="0.25">
      <c r="A303" t="str">
        <f t="shared" si="4"/>
        <v>800201658012026M12</v>
      </c>
      <c r="B303">
        <v>51321001</v>
      </c>
      <c r="C303">
        <v>6</v>
      </c>
      <c r="D303">
        <v>800201</v>
      </c>
      <c r="E303">
        <v>65801</v>
      </c>
      <c r="F303" t="s">
        <v>115</v>
      </c>
      <c r="G303" t="s">
        <v>74</v>
      </c>
      <c r="H303">
        <v>45841</v>
      </c>
      <c r="I303">
        <v>0</v>
      </c>
      <c r="J303">
        <v>45841</v>
      </c>
      <c r="K303">
        <v>0</v>
      </c>
      <c r="L303">
        <v>0</v>
      </c>
    </row>
    <row r="304" spans="1:12" x14ac:dyDescent="0.25">
      <c r="A304" t="str">
        <f t="shared" si="4"/>
        <v>900110691032026M02</v>
      </c>
      <c r="B304">
        <v>51321001</v>
      </c>
      <c r="C304">
        <v>6</v>
      </c>
      <c r="D304">
        <v>900110</v>
      </c>
      <c r="E304">
        <v>69103</v>
      </c>
      <c r="F304" t="s">
        <v>115</v>
      </c>
      <c r="G304" t="s">
        <v>64</v>
      </c>
      <c r="H304">
        <v>16258.04</v>
      </c>
      <c r="I304">
        <v>16258.04</v>
      </c>
      <c r="J304">
        <v>0</v>
      </c>
      <c r="K304">
        <v>0</v>
      </c>
      <c r="L304">
        <v>0</v>
      </c>
    </row>
    <row r="305" spans="1:12" x14ac:dyDescent="0.25">
      <c r="A305" t="str">
        <f t="shared" si="4"/>
        <v>900110691032026M03</v>
      </c>
      <c r="B305">
        <v>51321001</v>
      </c>
      <c r="C305">
        <v>6</v>
      </c>
      <c r="D305">
        <v>900110</v>
      </c>
      <c r="E305">
        <v>69103</v>
      </c>
      <c r="F305" t="s">
        <v>115</v>
      </c>
      <c r="G305" t="s">
        <v>65</v>
      </c>
      <c r="H305">
        <v>16258.04</v>
      </c>
      <c r="I305">
        <v>16258.04</v>
      </c>
      <c r="J305">
        <v>0</v>
      </c>
      <c r="K305">
        <v>0</v>
      </c>
      <c r="L305">
        <v>0</v>
      </c>
    </row>
    <row r="306" spans="1:12" x14ac:dyDescent="0.25">
      <c r="A306" t="str">
        <f t="shared" si="4"/>
        <v>900110691032026M04</v>
      </c>
      <c r="B306">
        <v>51321001</v>
      </c>
      <c r="C306">
        <v>6</v>
      </c>
      <c r="D306">
        <v>900110</v>
      </c>
      <c r="E306">
        <v>69103</v>
      </c>
      <c r="F306" t="s">
        <v>115</v>
      </c>
      <c r="G306" t="s">
        <v>66</v>
      </c>
      <c r="H306">
        <v>16258.04</v>
      </c>
      <c r="I306">
        <v>16258.04</v>
      </c>
      <c r="J306">
        <v>0</v>
      </c>
      <c r="K306">
        <v>0</v>
      </c>
      <c r="L306">
        <v>0</v>
      </c>
    </row>
    <row r="307" spans="1:12" x14ac:dyDescent="0.25">
      <c r="A307" t="str">
        <f t="shared" si="4"/>
        <v>900110691032026M05</v>
      </c>
      <c r="B307">
        <v>51321001</v>
      </c>
      <c r="C307">
        <v>6</v>
      </c>
      <c r="D307">
        <v>900110</v>
      </c>
      <c r="E307">
        <v>69103</v>
      </c>
      <c r="F307" t="s">
        <v>115</v>
      </c>
      <c r="G307" t="s">
        <v>67</v>
      </c>
      <c r="H307">
        <v>0</v>
      </c>
      <c r="I307">
        <v>0</v>
      </c>
      <c r="J307">
        <v>0</v>
      </c>
      <c r="K307">
        <v>0</v>
      </c>
      <c r="L307">
        <v>0</v>
      </c>
    </row>
    <row r="308" spans="1:12" x14ac:dyDescent="0.25">
      <c r="A308" t="str">
        <f t="shared" si="4"/>
        <v>900110691032026M06</v>
      </c>
      <c r="B308">
        <v>51321001</v>
      </c>
      <c r="C308">
        <v>6</v>
      </c>
      <c r="D308">
        <v>900110</v>
      </c>
      <c r="E308">
        <v>69103</v>
      </c>
      <c r="F308" t="s">
        <v>115</v>
      </c>
      <c r="G308" t="s">
        <v>68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x14ac:dyDescent="0.25">
      <c r="A309" t="str">
        <f t="shared" si="4"/>
        <v>900110691032026M07</v>
      </c>
      <c r="B309">
        <v>51321001</v>
      </c>
      <c r="C309">
        <v>6</v>
      </c>
      <c r="D309">
        <v>900110</v>
      </c>
      <c r="E309">
        <v>69103</v>
      </c>
      <c r="F309" t="s">
        <v>115</v>
      </c>
      <c r="G309" t="s">
        <v>69</v>
      </c>
      <c r="H309">
        <v>48774.13</v>
      </c>
      <c r="I309">
        <v>48774.13</v>
      </c>
      <c r="J309">
        <v>0</v>
      </c>
      <c r="K309">
        <v>0</v>
      </c>
      <c r="L309">
        <v>0</v>
      </c>
    </row>
    <row r="310" spans="1:12" x14ac:dyDescent="0.25">
      <c r="A310" t="str">
        <f t="shared" si="4"/>
        <v>900110691032026M08</v>
      </c>
      <c r="B310">
        <v>51321001</v>
      </c>
      <c r="C310">
        <v>6</v>
      </c>
      <c r="D310">
        <v>900110</v>
      </c>
      <c r="E310">
        <v>69103</v>
      </c>
      <c r="F310" t="s">
        <v>115</v>
      </c>
      <c r="G310" t="s">
        <v>70</v>
      </c>
      <c r="H310">
        <v>16258.04</v>
      </c>
      <c r="I310">
        <v>16258.04</v>
      </c>
      <c r="J310">
        <v>0</v>
      </c>
      <c r="K310">
        <v>0</v>
      </c>
      <c r="L310">
        <v>0</v>
      </c>
    </row>
    <row r="311" spans="1:12" x14ac:dyDescent="0.25">
      <c r="A311" t="str">
        <f t="shared" si="4"/>
        <v>900110691032026M09</v>
      </c>
      <c r="B311">
        <v>51321001</v>
      </c>
      <c r="C311">
        <v>6</v>
      </c>
      <c r="D311">
        <v>900110</v>
      </c>
      <c r="E311">
        <v>69103</v>
      </c>
      <c r="F311" t="s">
        <v>115</v>
      </c>
      <c r="G311" t="s">
        <v>71</v>
      </c>
      <c r="H311">
        <v>16258.04</v>
      </c>
      <c r="I311">
        <v>16258.04</v>
      </c>
      <c r="J311">
        <v>0</v>
      </c>
      <c r="K311">
        <v>0</v>
      </c>
      <c r="L311">
        <v>0</v>
      </c>
    </row>
    <row r="312" spans="1:12" x14ac:dyDescent="0.25">
      <c r="A312" t="str">
        <f t="shared" si="4"/>
        <v>900110691032026M10</v>
      </c>
      <c r="B312">
        <v>51321001</v>
      </c>
      <c r="C312">
        <v>6</v>
      </c>
      <c r="D312">
        <v>900110</v>
      </c>
      <c r="E312">
        <v>69103</v>
      </c>
      <c r="F312" t="s">
        <v>115</v>
      </c>
      <c r="G312" t="s">
        <v>72</v>
      </c>
      <c r="H312">
        <v>16266.67</v>
      </c>
      <c r="I312">
        <v>16258.04</v>
      </c>
      <c r="J312">
        <v>8.6300000000000008</v>
      </c>
      <c r="K312">
        <v>0</v>
      </c>
      <c r="L312">
        <v>0</v>
      </c>
    </row>
    <row r="313" spans="1:12" x14ac:dyDescent="0.25">
      <c r="A313" t="str">
        <f t="shared" si="4"/>
        <v>900110691032026M11</v>
      </c>
      <c r="B313">
        <v>51321001</v>
      </c>
      <c r="C313">
        <v>6</v>
      </c>
      <c r="D313">
        <v>900110</v>
      </c>
      <c r="E313">
        <v>69103</v>
      </c>
      <c r="F313" t="s">
        <v>115</v>
      </c>
      <c r="G313" t="s">
        <v>73</v>
      </c>
      <c r="H313">
        <v>16259</v>
      </c>
      <c r="I313">
        <v>0</v>
      </c>
      <c r="J313">
        <v>16259</v>
      </c>
      <c r="K313">
        <v>0</v>
      </c>
      <c r="L313">
        <v>0</v>
      </c>
    </row>
    <row r="314" spans="1:12" x14ac:dyDescent="0.25">
      <c r="A314" t="str">
        <f t="shared" si="4"/>
        <v>900110691032026M12</v>
      </c>
      <c r="B314">
        <v>51321001</v>
      </c>
      <c r="C314">
        <v>6</v>
      </c>
      <c r="D314">
        <v>900110</v>
      </c>
      <c r="E314">
        <v>69103</v>
      </c>
      <c r="F314" t="s">
        <v>115</v>
      </c>
      <c r="G314" t="s">
        <v>74</v>
      </c>
      <c r="H314">
        <v>32506.720000000001</v>
      </c>
      <c r="I314">
        <v>0</v>
      </c>
      <c r="J314">
        <v>32506.720000000001</v>
      </c>
      <c r="K314">
        <v>0</v>
      </c>
      <c r="L314">
        <v>0</v>
      </c>
    </row>
    <row r="315" spans="1:12" x14ac:dyDescent="0.25">
      <c r="A315" t="str">
        <f t="shared" si="4"/>
        <v>50100790012026M02</v>
      </c>
      <c r="B315">
        <v>51321001</v>
      </c>
      <c r="C315">
        <v>7</v>
      </c>
      <c r="D315">
        <v>50100</v>
      </c>
      <c r="E315">
        <v>79001</v>
      </c>
      <c r="F315" t="s">
        <v>115</v>
      </c>
      <c r="G315" t="s">
        <v>64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25">
      <c r="A316" t="str">
        <f t="shared" si="4"/>
        <v>50100790012026M03</v>
      </c>
      <c r="B316">
        <v>51321001</v>
      </c>
      <c r="C316">
        <v>7</v>
      </c>
      <c r="D316">
        <v>50100</v>
      </c>
      <c r="E316">
        <v>79001</v>
      </c>
      <c r="F316" t="s">
        <v>115</v>
      </c>
      <c r="G316" t="s">
        <v>65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 x14ac:dyDescent="0.25">
      <c r="A317" t="str">
        <f t="shared" si="4"/>
        <v>50100790012026M04</v>
      </c>
      <c r="B317">
        <v>51321001</v>
      </c>
      <c r="C317">
        <v>7</v>
      </c>
      <c r="D317">
        <v>50100</v>
      </c>
      <c r="E317">
        <v>79001</v>
      </c>
      <c r="F317" t="s">
        <v>115</v>
      </c>
      <c r="G317" t="s">
        <v>66</v>
      </c>
      <c r="H317">
        <v>0</v>
      </c>
      <c r="I317">
        <v>0</v>
      </c>
      <c r="J317">
        <v>0</v>
      </c>
      <c r="K317">
        <v>0</v>
      </c>
      <c r="L317">
        <v>0</v>
      </c>
    </row>
    <row r="318" spans="1:12" x14ac:dyDescent="0.25">
      <c r="A318" t="str">
        <f t="shared" si="4"/>
        <v>50100790012026M05</v>
      </c>
      <c r="B318">
        <v>51321001</v>
      </c>
      <c r="C318">
        <v>7</v>
      </c>
      <c r="D318">
        <v>50100</v>
      </c>
      <c r="E318">
        <v>79001</v>
      </c>
      <c r="F318" t="s">
        <v>115</v>
      </c>
      <c r="G318" t="s">
        <v>67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5">
      <c r="A319" t="str">
        <f t="shared" si="4"/>
        <v>50100790012026M06</v>
      </c>
      <c r="B319">
        <v>51321001</v>
      </c>
      <c r="C319">
        <v>7</v>
      </c>
      <c r="D319">
        <v>50100</v>
      </c>
      <c r="E319">
        <v>79001</v>
      </c>
      <c r="F319" t="s">
        <v>115</v>
      </c>
      <c r="G319" t="s">
        <v>68</v>
      </c>
      <c r="H319">
        <v>0</v>
      </c>
      <c r="I319">
        <v>0</v>
      </c>
      <c r="J319">
        <v>0</v>
      </c>
      <c r="K319">
        <v>0</v>
      </c>
      <c r="L319">
        <v>0</v>
      </c>
    </row>
    <row r="320" spans="1:12" x14ac:dyDescent="0.25">
      <c r="A320" t="str">
        <f t="shared" si="4"/>
        <v>50100790012026M07</v>
      </c>
      <c r="B320">
        <v>51321001</v>
      </c>
      <c r="C320">
        <v>7</v>
      </c>
      <c r="D320">
        <v>50100</v>
      </c>
      <c r="E320">
        <v>79001</v>
      </c>
      <c r="F320" t="s">
        <v>115</v>
      </c>
      <c r="G320" t="s">
        <v>69</v>
      </c>
      <c r="H320">
        <v>0</v>
      </c>
      <c r="I320">
        <v>0</v>
      </c>
      <c r="J320">
        <v>0</v>
      </c>
      <c r="K320">
        <v>0</v>
      </c>
      <c r="L320">
        <v>0</v>
      </c>
    </row>
    <row r="321" spans="1:12" x14ac:dyDescent="0.25">
      <c r="A321" t="str">
        <f t="shared" si="4"/>
        <v>50100790012026M08</v>
      </c>
      <c r="B321">
        <v>51321001</v>
      </c>
      <c r="C321">
        <v>7</v>
      </c>
      <c r="D321">
        <v>50100</v>
      </c>
      <c r="E321">
        <v>79001</v>
      </c>
      <c r="F321" t="s">
        <v>115</v>
      </c>
      <c r="G321" t="s">
        <v>70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 x14ac:dyDescent="0.25">
      <c r="A322" t="str">
        <f t="shared" si="4"/>
        <v>50100790012026M09</v>
      </c>
      <c r="B322">
        <v>51321001</v>
      </c>
      <c r="C322">
        <v>7</v>
      </c>
      <c r="D322">
        <v>50100</v>
      </c>
      <c r="E322">
        <v>79001</v>
      </c>
      <c r="F322" t="s">
        <v>115</v>
      </c>
      <c r="G322" t="s">
        <v>71</v>
      </c>
      <c r="H322">
        <v>0</v>
      </c>
      <c r="I322">
        <v>0</v>
      </c>
      <c r="J322">
        <v>0</v>
      </c>
      <c r="K322">
        <v>0</v>
      </c>
      <c r="L322">
        <v>0</v>
      </c>
    </row>
    <row r="323" spans="1:12" x14ac:dyDescent="0.25">
      <c r="A323" t="str">
        <f t="shared" si="4"/>
        <v>50100790012026M10</v>
      </c>
      <c r="B323">
        <v>51321001</v>
      </c>
      <c r="C323">
        <v>7</v>
      </c>
      <c r="D323">
        <v>50100</v>
      </c>
      <c r="E323">
        <v>79001</v>
      </c>
      <c r="F323" t="s">
        <v>115</v>
      </c>
      <c r="G323" t="s">
        <v>72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 x14ac:dyDescent="0.25">
      <c r="A324" t="str">
        <f t="shared" si="4"/>
        <v>50100790012026M11</v>
      </c>
      <c r="B324">
        <v>51321001</v>
      </c>
      <c r="C324">
        <v>7</v>
      </c>
      <c r="D324">
        <v>50100</v>
      </c>
      <c r="E324">
        <v>79001</v>
      </c>
      <c r="F324" t="s">
        <v>115</v>
      </c>
      <c r="G324" t="s">
        <v>73</v>
      </c>
      <c r="H324">
        <v>0</v>
      </c>
      <c r="I324">
        <v>0</v>
      </c>
      <c r="J324">
        <v>0</v>
      </c>
      <c r="K324">
        <v>0</v>
      </c>
      <c r="L324">
        <v>0</v>
      </c>
    </row>
    <row r="325" spans="1:12" x14ac:dyDescent="0.25">
      <c r="A325" t="str">
        <f t="shared" si="4"/>
        <v>50100790012026M12</v>
      </c>
      <c r="B325">
        <v>51321001</v>
      </c>
      <c r="C325">
        <v>7</v>
      </c>
      <c r="D325">
        <v>50100</v>
      </c>
      <c r="E325">
        <v>79001</v>
      </c>
      <c r="F325" t="s">
        <v>115</v>
      </c>
      <c r="G325" t="s">
        <v>74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 x14ac:dyDescent="0.25">
      <c r="A326" t="str">
        <f t="shared" si="4"/>
        <v>7310007P9012026M05</v>
      </c>
      <c r="B326">
        <v>51321001</v>
      </c>
      <c r="C326">
        <v>7</v>
      </c>
      <c r="D326">
        <v>73100</v>
      </c>
      <c r="E326" t="s">
        <v>77</v>
      </c>
      <c r="F326" t="s">
        <v>115</v>
      </c>
      <c r="G326" t="s">
        <v>67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 x14ac:dyDescent="0.25">
      <c r="A327" t="str">
        <f t="shared" si="4"/>
        <v>7310007P9012026M06</v>
      </c>
      <c r="B327">
        <v>51321001</v>
      </c>
      <c r="C327">
        <v>7</v>
      </c>
      <c r="D327">
        <v>73100</v>
      </c>
      <c r="E327" t="s">
        <v>77</v>
      </c>
      <c r="F327" t="s">
        <v>115</v>
      </c>
      <c r="G327" t="s">
        <v>68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 x14ac:dyDescent="0.25">
      <c r="A328" t="str">
        <f t="shared" si="4"/>
        <v>7310007P9012026M07</v>
      </c>
      <c r="B328">
        <v>51321001</v>
      </c>
      <c r="C328">
        <v>7</v>
      </c>
      <c r="D328">
        <v>73100</v>
      </c>
      <c r="E328" t="s">
        <v>77</v>
      </c>
      <c r="F328" t="s">
        <v>115</v>
      </c>
      <c r="G328" t="s">
        <v>69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 x14ac:dyDescent="0.25">
      <c r="A329" t="str">
        <f t="shared" si="4"/>
        <v>7310007P9012026M08</v>
      </c>
      <c r="B329">
        <v>51321001</v>
      </c>
      <c r="C329">
        <v>7</v>
      </c>
      <c r="D329">
        <v>73100</v>
      </c>
      <c r="E329" t="s">
        <v>77</v>
      </c>
      <c r="F329" t="s">
        <v>115</v>
      </c>
      <c r="G329" t="s">
        <v>70</v>
      </c>
      <c r="H329">
        <v>0</v>
      </c>
      <c r="I329">
        <v>0</v>
      </c>
      <c r="J329">
        <v>0</v>
      </c>
      <c r="K329">
        <v>0</v>
      </c>
      <c r="L329">
        <v>0</v>
      </c>
    </row>
    <row r="330" spans="1:12" x14ac:dyDescent="0.25">
      <c r="A330" t="str">
        <f t="shared" si="4"/>
        <v>7310007P9012026M09</v>
      </c>
      <c r="B330">
        <v>51321001</v>
      </c>
      <c r="C330">
        <v>7</v>
      </c>
      <c r="D330">
        <v>73100</v>
      </c>
      <c r="E330" t="s">
        <v>77</v>
      </c>
      <c r="F330" t="s">
        <v>115</v>
      </c>
      <c r="G330" t="s">
        <v>71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5">
      <c r="A331" t="str">
        <f t="shared" ref="A331:A394" si="5">D331&amp;E331&amp;G331</f>
        <v>7310007P9012026M10</v>
      </c>
      <c r="B331">
        <v>51321001</v>
      </c>
      <c r="C331">
        <v>7</v>
      </c>
      <c r="D331">
        <v>73100</v>
      </c>
      <c r="E331" t="s">
        <v>77</v>
      </c>
      <c r="F331" t="s">
        <v>115</v>
      </c>
      <c r="G331" t="s">
        <v>72</v>
      </c>
      <c r="H331">
        <v>4764</v>
      </c>
      <c r="I331">
        <v>0</v>
      </c>
      <c r="J331">
        <v>4764</v>
      </c>
      <c r="K331">
        <v>0</v>
      </c>
      <c r="L331">
        <v>0</v>
      </c>
    </row>
    <row r="332" spans="1:12" x14ac:dyDescent="0.25">
      <c r="A332" t="str">
        <f t="shared" si="5"/>
        <v>73110793062026M02</v>
      </c>
      <c r="B332">
        <v>51321001</v>
      </c>
      <c r="C332">
        <v>7</v>
      </c>
      <c r="D332">
        <v>73110</v>
      </c>
      <c r="E332">
        <v>79306</v>
      </c>
      <c r="F332" t="s">
        <v>115</v>
      </c>
      <c r="G332" t="s">
        <v>64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 x14ac:dyDescent="0.25">
      <c r="A333" t="str">
        <f t="shared" si="5"/>
        <v>73110793062026M03</v>
      </c>
      <c r="B333">
        <v>51321001</v>
      </c>
      <c r="C333">
        <v>7</v>
      </c>
      <c r="D333">
        <v>73110</v>
      </c>
      <c r="E333">
        <v>79306</v>
      </c>
      <c r="F333" t="s">
        <v>115</v>
      </c>
      <c r="G333" t="s">
        <v>65</v>
      </c>
      <c r="H333">
        <v>0</v>
      </c>
      <c r="I333">
        <v>0</v>
      </c>
      <c r="J333">
        <v>0</v>
      </c>
      <c r="K333">
        <v>0</v>
      </c>
      <c r="L333">
        <v>0</v>
      </c>
    </row>
    <row r="334" spans="1:12" x14ac:dyDescent="0.25">
      <c r="A334" t="str">
        <f t="shared" si="5"/>
        <v>73110793062026M04</v>
      </c>
      <c r="B334">
        <v>51321001</v>
      </c>
      <c r="C334">
        <v>7</v>
      </c>
      <c r="D334">
        <v>73110</v>
      </c>
      <c r="E334">
        <v>79306</v>
      </c>
      <c r="F334" t="s">
        <v>115</v>
      </c>
      <c r="G334" t="s">
        <v>66</v>
      </c>
      <c r="H334">
        <v>31320</v>
      </c>
      <c r="I334">
        <v>31320</v>
      </c>
      <c r="J334">
        <v>0</v>
      </c>
      <c r="K334">
        <v>0</v>
      </c>
      <c r="L334">
        <v>0</v>
      </c>
    </row>
    <row r="335" spans="1:12" x14ac:dyDescent="0.25">
      <c r="A335" t="str">
        <f t="shared" si="5"/>
        <v>73110793062026M05</v>
      </c>
      <c r="B335">
        <v>51321001</v>
      </c>
      <c r="C335">
        <v>7</v>
      </c>
      <c r="D335">
        <v>73110</v>
      </c>
      <c r="E335">
        <v>79306</v>
      </c>
      <c r="F335" t="s">
        <v>115</v>
      </c>
      <c r="G335" t="s">
        <v>67</v>
      </c>
      <c r="H335">
        <v>10440</v>
      </c>
      <c r="I335">
        <v>10440</v>
      </c>
      <c r="J335">
        <v>0</v>
      </c>
      <c r="K335">
        <v>0</v>
      </c>
      <c r="L335">
        <v>0</v>
      </c>
    </row>
    <row r="336" spans="1:12" x14ac:dyDescent="0.25">
      <c r="A336" t="str">
        <f t="shared" si="5"/>
        <v>73110793062026M06</v>
      </c>
      <c r="B336">
        <v>51321001</v>
      </c>
      <c r="C336">
        <v>7</v>
      </c>
      <c r="D336">
        <v>73110</v>
      </c>
      <c r="E336">
        <v>79306</v>
      </c>
      <c r="F336" t="s">
        <v>115</v>
      </c>
      <c r="G336" t="s">
        <v>68</v>
      </c>
      <c r="H336">
        <v>10440</v>
      </c>
      <c r="I336">
        <v>10440</v>
      </c>
      <c r="J336">
        <v>0</v>
      </c>
      <c r="K336">
        <v>0</v>
      </c>
      <c r="L336">
        <v>0</v>
      </c>
    </row>
    <row r="337" spans="1:12" x14ac:dyDescent="0.25">
      <c r="A337" t="str">
        <f t="shared" si="5"/>
        <v>73110793062026M07</v>
      </c>
      <c r="B337">
        <v>51321001</v>
      </c>
      <c r="C337">
        <v>7</v>
      </c>
      <c r="D337">
        <v>73110</v>
      </c>
      <c r="E337">
        <v>79306</v>
      </c>
      <c r="F337" t="s">
        <v>115</v>
      </c>
      <c r="G337" t="s">
        <v>69</v>
      </c>
      <c r="H337">
        <v>10440</v>
      </c>
      <c r="I337">
        <v>10440</v>
      </c>
      <c r="J337">
        <v>0</v>
      </c>
      <c r="K337">
        <v>0</v>
      </c>
      <c r="L337">
        <v>0</v>
      </c>
    </row>
    <row r="338" spans="1:12" x14ac:dyDescent="0.25">
      <c r="A338" t="str">
        <f t="shared" si="5"/>
        <v>73110793062026M08</v>
      </c>
      <c r="B338">
        <v>51321001</v>
      </c>
      <c r="C338">
        <v>7</v>
      </c>
      <c r="D338">
        <v>73110</v>
      </c>
      <c r="E338">
        <v>79306</v>
      </c>
      <c r="F338" t="s">
        <v>115</v>
      </c>
      <c r="G338" t="s">
        <v>70</v>
      </c>
      <c r="H338">
        <v>0</v>
      </c>
      <c r="I338">
        <v>0</v>
      </c>
      <c r="J338">
        <v>0</v>
      </c>
      <c r="K338">
        <v>0</v>
      </c>
      <c r="L338">
        <v>0</v>
      </c>
    </row>
    <row r="339" spans="1:12" x14ac:dyDescent="0.25">
      <c r="A339" t="str">
        <f t="shared" si="5"/>
        <v>73110793062026M09</v>
      </c>
      <c r="B339">
        <v>51321001</v>
      </c>
      <c r="C339">
        <v>7</v>
      </c>
      <c r="D339">
        <v>73110</v>
      </c>
      <c r="E339">
        <v>79306</v>
      </c>
      <c r="F339" t="s">
        <v>115</v>
      </c>
      <c r="G339" t="s">
        <v>71</v>
      </c>
      <c r="H339">
        <v>20880</v>
      </c>
      <c r="I339">
        <v>20880</v>
      </c>
      <c r="J339">
        <v>0</v>
      </c>
      <c r="K339">
        <v>0</v>
      </c>
      <c r="L339">
        <v>0</v>
      </c>
    </row>
    <row r="340" spans="1:12" x14ac:dyDescent="0.25">
      <c r="A340" t="str">
        <f t="shared" si="5"/>
        <v>73110793062026M10</v>
      </c>
      <c r="B340">
        <v>51321001</v>
      </c>
      <c r="C340">
        <v>7</v>
      </c>
      <c r="D340">
        <v>73110</v>
      </c>
      <c r="E340">
        <v>79306</v>
      </c>
      <c r="F340" t="s">
        <v>115</v>
      </c>
      <c r="G340" t="s">
        <v>72</v>
      </c>
      <c r="H340">
        <v>10440</v>
      </c>
      <c r="I340">
        <v>0</v>
      </c>
      <c r="J340">
        <v>10440</v>
      </c>
      <c r="K340">
        <v>0</v>
      </c>
      <c r="L340">
        <v>0</v>
      </c>
    </row>
    <row r="341" spans="1:12" x14ac:dyDescent="0.25">
      <c r="A341" t="str">
        <f t="shared" si="5"/>
        <v>73110793062026M11</v>
      </c>
      <c r="B341">
        <v>51321001</v>
      </c>
      <c r="C341">
        <v>7</v>
      </c>
      <c r="D341">
        <v>73110</v>
      </c>
      <c r="E341">
        <v>79306</v>
      </c>
      <c r="F341" t="s">
        <v>115</v>
      </c>
      <c r="G341" t="s">
        <v>73</v>
      </c>
      <c r="H341">
        <v>10440</v>
      </c>
      <c r="I341">
        <v>0</v>
      </c>
      <c r="J341">
        <v>10440</v>
      </c>
      <c r="K341">
        <v>0</v>
      </c>
      <c r="L341">
        <v>0</v>
      </c>
    </row>
    <row r="342" spans="1:12" x14ac:dyDescent="0.25">
      <c r="A342" t="str">
        <f t="shared" si="5"/>
        <v>73110793062026M12</v>
      </c>
      <c r="B342">
        <v>51321001</v>
      </c>
      <c r="C342">
        <v>7</v>
      </c>
      <c r="D342">
        <v>73110</v>
      </c>
      <c r="E342">
        <v>79306</v>
      </c>
      <c r="F342" t="s">
        <v>115</v>
      </c>
      <c r="G342" t="s">
        <v>74</v>
      </c>
      <c r="H342">
        <v>20880</v>
      </c>
      <c r="I342">
        <v>0</v>
      </c>
      <c r="J342">
        <v>20880</v>
      </c>
      <c r="K342">
        <v>0</v>
      </c>
      <c r="L342">
        <v>0</v>
      </c>
    </row>
    <row r="343" spans="1:12" x14ac:dyDescent="0.25">
      <c r="A343" t="str">
        <f t="shared" si="5"/>
        <v>73110793072026M02</v>
      </c>
      <c r="B343">
        <v>51321001</v>
      </c>
      <c r="C343">
        <v>7</v>
      </c>
      <c r="D343">
        <v>73110</v>
      </c>
      <c r="E343">
        <v>79307</v>
      </c>
      <c r="F343" t="s">
        <v>115</v>
      </c>
      <c r="G343" t="s">
        <v>64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 x14ac:dyDescent="0.25">
      <c r="A344" t="str">
        <f t="shared" si="5"/>
        <v>73110793072026M03</v>
      </c>
      <c r="B344">
        <v>51321001</v>
      </c>
      <c r="C344">
        <v>7</v>
      </c>
      <c r="D344">
        <v>73110</v>
      </c>
      <c r="E344">
        <v>79307</v>
      </c>
      <c r="F344" t="s">
        <v>115</v>
      </c>
      <c r="G344" t="s">
        <v>65</v>
      </c>
      <c r="H344">
        <v>0</v>
      </c>
      <c r="I344">
        <v>0</v>
      </c>
      <c r="J344">
        <v>0</v>
      </c>
      <c r="K344">
        <v>0</v>
      </c>
      <c r="L344">
        <v>0</v>
      </c>
    </row>
    <row r="345" spans="1:12" x14ac:dyDescent="0.25">
      <c r="A345" t="str">
        <f t="shared" si="5"/>
        <v>73110793072026M04</v>
      </c>
      <c r="B345">
        <v>51321001</v>
      </c>
      <c r="C345">
        <v>7</v>
      </c>
      <c r="D345">
        <v>73110</v>
      </c>
      <c r="E345">
        <v>79307</v>
      </c>
      <c r="F345" t="s">
        <v>115</v>
      </c>
      <c r="G345" t="s">
        <v>66</v>
      </c>
      <c r="H345">
        <v>31320</v>
      </c>
      <c r="I345">
        <v>31320</v>
      </c>
      <c r="J345">
        <v>0</v>
      </c>
      <c r="K345">
        <v>0</v>
      </c>
      <c r="L345">
        <v>0</v>
      </c>
    </row>
    <row r="346" spans="1:12" x14ac:dyDescent="0.25">
      <c r="A346" t="str">
        <f t="shared" si="5"/>
        <v>73110793072026M05</v>
      </c>
      <c r="B346">
        <v>51321001</v>
      </c>
      <c r="C346">
        <v>7</v>
      </c>
      <c r="D346">
        <v>73110</v>
      </c>
      <c r="E346">
        <v>79307</v>
      </c>
      <c r="F346" t="s">
        <v>115</v>
      </c>
      <c r="G346" t="s">
        <v>67</v>
      </c>
      <c r="H346">
        <v>0</v>
      </c>
      <c r="I346">
        <v>0</v>
      </c>
      <c r="J346">
        <v>0</v>
      </c>
      <c r="K346">
        <v>0</v>
      </c>
      <c r="L346">
        <v>0</v>
      </c>
    </row>
    <row r="347" spans="1:12" x14ac:dyDescent="0.25">
      <c r="A347" t="str">
        <f t="shared" si="5"/>
        <v>73110793072026M06</v>
      </c>
      <c r="B347">
        <v>51321001</v>
      </c>
      <c r="C347">
        <v>7</v>
      </c>
      <c r="D347">
        <v>73110</v>
      </c>
      <c r="E347">
        <v>79307</v>
      </c>
      <c r="F347" t="s">
        <v>115</v>
      </c>
      <c r="G347" t="s">
        <v>68</v>
      </c>
      <c r="H347">
        <v>20880</v>
      </c>
      <c r="I347">
        <v>20880</v>
      </c>
      <c r="J347">
        <v>0</v>
      </c>
      <c r="K347">
        <v>0</v>
      </c>
      <c r="L347">
        <v>0</v>
      </c>
    </row>
    <row r="348" spans="1:12" x14ac:dyDescent="0.25">
      <c r="A348" t="str">
        <f t="shared" si="5"/>
        <v>73110793072026M07</v>
      </c>
      <c r="B348">
        <v>51321001</v>
      </c>
      <c r="C348">
        <v>7</v>
      </c>
      <c r="D348">
        <v>73110</v>
      </c>
      <c r="E348">
        <v>79307</v>
      </c>
      <c r="F348" t="s">
        <v>115</v>
      </c>
      <c r="G348" t="s">
        <v>69</v>
      </c>
      <c r="H348">
        <v>10440</v>
      </c>
      <c r="I348">
        <v>10440</v>
      </c>
      <c r="J348">
        <v>0</v>
      </c>
      <c r="K348">
        <v>0</v>
      </c>
      <c r="L348">
        <v>0</v>
      </c>
    </row>
    <row r="349" spans="1:12" x14ac:dyDescent="0.25">
      <c r="A349" t="str">
        <f t="shared" si="5"/>
        <v>73110793072026M08</v>
      </c>
      <c r="B349">
        <v>51321001</v>
      </c>
      <c r="C349">
        <v>7</v>
      </c>
      <c r="D349">
        <v>73110</v>
      </c>
      <c r="E349">
        <v>79307</v>
      </c>
      <c r="F349" t="s">
        <v>115</v>
      </c>
      <c r="G349" t="s">
        <v>70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 x14ac:dyDescent="0.25">
      <c r="A350" t="str">
        <f t="shared" si="5"/>
        <v>73110793072026M09</v>
      </c>
      <c r="B350">
        <v>51321001</v>
      </c>
      <c r="C350">
        <v>7</v>
      </c>
      <c r="D350">
        <v>73110</v>
      </c>
      <c r="E350">
        <v>79307</v>
      </c>
      <c r="F350" t="s">
        <v>115</v>
      </c>
      <c r="G350" t="s">
        <v>71</v>
      </c>
      <c r="H350">
        <v>10440</v>
      </c>
      <c r="I350">
        <v>10440</v>
      </c>
      <c r="J350">
        <v>0</v>
      </c>
      <c r="K350">
        <v>0</v>
      </c>
      <c r="L350">
        <v>0</v>
      </c>
    </row>
    <row r="351" spans="1:12" x14ac:dyDescent="0.25">
      <c r="A351" t="str">
        <f t="shared" si="5"/>
        <v>73110793072026M10</v>
      </c>
      <c r="B351">
        <v>51321001</v>
      </c>
      <c r="C351">
        <v>7</v>
      </c>
      <c r="D351">
        <v>73110</v>
      </c>
      <c r="E351">
        <v>79307</v>
      </c>
      <c r="F351" t="s">
        <v>115</v>
      </c>
      <c r="G351" t="s">
        <v>72</v>
      </c>
      <c r="H351">
        <v>20880</v>
      </c>
      <c r="I351">
        <v>0</v>
      </c>
      <c r="J351">
        <v>20880</v>
      </c>
      <c r="K351">
        <v>0</v>
      </c>
      <c r="L351">
        <v>0</v>
      </c>
    </row>
    <row r="352" spans="1:12" x14ac:dyDescent="0.25">
      <c r="A352" t="str">
        <f t="shared" si="5"/>
        <v>73110793072026M11</v>
      </c>
      <c r="B352">
        <v>51321001</v>
      </c>
      <c r="C352">
        <v>7</v>
      </c>
      <c r="D352">
        <v>73110</v>
      </c>
      <c r="E352">
        <v>79307</v>
      </c>
      <c r="F352" t="s">
        <v>115</v>
      </c>
      <c r="G352" t="s">
        <v>73</v>
      </c>
      <c r="H352">
        <v>10440</v>
      </c>
      <c r="I352">
        <v>0</v>
      </c>
      <c r="J352">
        <v>10440</v>
      </c>
      <c r="K352">
        <v>0</v>
      </c>
      <c r="L352">
        <v>0</v>
      </c>
    </row>
    <row r="353" spans="1:12" x14ac:dyDescent="0.25">
      <c r="A353" t="str">
        <f t="shared" si="5"/>
        <v>73110793072026M12</v>
      </c>
      <c r="B353">
        <v>51321001</v>
      </c>
      <c r="C353">
        <v>7</v>
      </c>
      <c r="D353">
        <v>73110</v>
      </c>
      <c r="E353">
        <v>79307</v>
      </c>
      <c r="F353" t="s">
        <v>115</v>
      </c>
      <c r="G353" t="s">
        <v>74</v>
      </c>
      <c r="H353">
        <v>20880</v>
      </c>
      <c r="I353">
        <v>0</v>
      </c>
      <c r="J353">
        <v>20880</v>
      </c>
      <c r="K353">
        <v>0</v>
      </c>
      <c r="L353">
        <v>0</v>
      </c>
    </row>
    <row r="354" spans="1:12" x14ac:dyDescent="0.25">
      <c r="A354" t="str">
        <f t="shared" si="5"/>
        <v>7311007P9012026M02</v>
      </c>
      <c r="B354">
        <v>51321001</v>
      </c>
      <c r="C354">
        <v>7</v>
      </c>
      <c r="D354">
        <v>73110</v>
      </c>
      <c r="E354" t="s">
        <v>77</v>
      </c>
      <c r="F354" t="s">
        <v>115</v>
      </c>
      <c r="G354" t="s">
        <v>64</v>
      </c>
      <c r="H354">
        <v>42875.98</v>
      </c>
      <c r="I354">
        <v>42875.98</v>
      </c>
      <c r="J354">
        <v>0</v>
      </c>
      <c r="K354">
        <v>0</v>
      </c>
      <c r="L354">
        <v>0</v>
      </c>
    </row>
    <row r="355" spans="1:12" x14ac:dyDescent="0.25">
      <c r="A355" t="str">
        <f t="shared" si="5"/>
        <v>7311007P9012026M03</v>
      </c>
      <c r="B355">
        <v>51321001</v>
      </c>
      <c r="C355">
        <v>7</v>
      </c>
      <c r="D355">
        <v>73110</v>
      </c>
      <c r="E355" t="s">
        <v>77</v>
      </c>
      <c r="F355" t="s">
        <v>115</v>
      </c>
      <c r="G355" t="s">
        <v>65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x14ac:dyDescent="0.25">
      <c r="A356" t="str">
        <f t="shared" si="5"/>
        <v>7311007P9012026M04</v>
      </c>
      <c r="B356">
        <v>51321001</v>
      </c>
      <c r="C356">
        <v>7</v>
      </c>
      <c r="D356">
        <v>73110</v>
      </c>
      <c r="E356" t="s">
        <v>77</v>
      </c>
      <c r="F356" t="s">
        <v>115</v>
      </c>
      <c r="G356" t="s">
        <v>66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25">
      <c r="A357" t="str">
        <f t="shared" si="5"/>
        <v>7311007P9012026M05</v>
      </c>
      <c r="B357">
        <v>51321001</v>
      </c>
      <c r="C357">
        <v>7</v>
      </c>
      <c r="D357">
        <v>73110</v>
      </c>
      <c r="E357" t="s">
        <v>77</v>
      </c>
      <c r="F357" t="s">
        <v>115</v>
      </c>
      <c r="G357" t="s">
        <v>67</v>
      </c>
      <c r="H357">
        <v>0</v>
      </c>
      <c r="I357">
        <v>0</v>
      </c>
      <c r="J357">
        <v>0</v>
      </c>
      <c r="K357">
        <v>0</v>
      </c>
      <c r="L357">
        <v>0</v>
      </c>
    </row>
    <row r="358" spans="1:12" x14ac:dyDescent="0.25">
      <c r="A358" t="str">
        <f t="shared" si="5"/>
        <v>7311007P9012026M06</v>
      </c>
      <c r="B358">
        <v>51321001</v>
      </c>
      <c r="C358">
        <v>7</v>
      </c>
      <c r="D358">
        <v>73110</v>
      </c>
      <c r="E358" t="s">
        <v>77</v>
      </c>
      <c r="F358" t="s">
        <v>115</v>
      </c>
      <c r="G358" t="s">
        <v>68</v>
      </c>
      <c r="H358">
        <v>0</v>
      </c>
      <c r="I358">
        <v>0</v>
      </c>
      <c r="J358">
        <v>0</v>
      </c>
      <c r="K358">
        <v>0</v>
      </c>
      <c r="L358">
        <v>0</v>
      </c>
    </row>
    <row r="359" spans="1:12" x14ac:dyDescent="0.25">
      <c r="A359" t="str">
        <f t="shared" si="5"/>
        <v>7311007P9012026M07</v>
      </c>
      <c r="B359">
        <v>51321001</v>
      </c>
      <c r="C359">
        <v>7</v>
      </c>
      <c r="D359">
        <v>73110</v>
      </c>
      <c r="E359" t="s">
        <v>77</v>
      </c>
      <c r="F359" t="s">
        <v>115</v>
      </c>
      <c r="G359" t="s">
        <v>69</v>
      </c>
      <c r="H359">
        <v>214379.91</v>
      </c>
      <c r="I359">
        <v>214379.91</v>
      </c>
      <c r="J359">
        <v>0</v>
      </c>
      <c r="K359">
        <v>0</v>
      </c>
      <c r="L359">
        <v>0</v>
      </c>
    </row>
    <row r="360" spans="1:12" x14ac:dyDescent="0.25">
      <c r="A360" t="str">
        <f t="shared" si="5"/>
        <v>7311007P9012026M08</v>
      </c>
      <c r="B360">
        <v>51321001</v>
      </c>
      <c r="C360">
        <v>7</v>
      </c>
      <c r="D360">
        <v>73110</v>
      </c>
      <c r="E360" t="s">
        <v>77</v>
      </c>
      <c r="F360" t="s">
        <v>115</v>
      </c>
      <c r="G360" t="s">
        <v>70</v>
      </c>
      <c r="H360">
        <v>42875.98</v>
      </c>
      <c r="I360">
        <v>42875.98</v>
      </c>
      <c r="J360">
        <v>0</v>
      </c>
      <c r="K360">
        <v>0</v>
      </c>
      <c r="L360">
        <v>0</v>
      </c>
    </row>
    <row r="361" spans="1:12" x14ac:dyDescent="0.25">
      <c r="A361" t="str">
        <f t="shared" si="5"/>
        <v>7311007P9012026M09</v>
      </c>
      <c r="B361">
        <v>51321001</v>
      </c>
      <c r="C361">
        <v>7</v>
      </c>
      <c r="D361">
        <v>73110</v>
      </c>
      <c r="E361" t="s">
        <v>77</v>
      </c>
      <c r="F361" t="s">
        <v>115</v>
      </c>
      <c r="G361" t="s">
        <v>71</v>
      </c>
      <c r="H361">
        <v>42875.98</v>
      </c>
      <c r="I361">
        <v>42875.98</v>
      </c>
      <c r="J361">
        <v>0</v>
      </c>
      <c r="K361">
        <v>0</v>
      </c>
      <c r="L361">
        <v>0</v>
      </c>
    </row>
    <row r="362" spans="1:12" x14ac:dyDescent="0.25">
      <c r="A362" t="str">
        <f t="shared" si="5"/>
        <v>7311007P9012026M10</v>
      </c>
      <c r="B362">
        <v>51321001</v>
      </c>
      <c r="C362">
        <v>7</v>
      </c>
      <c r="D362">
        <v>73110</v>
      </c>
      <c r="E362" t="s">
        <v>77</v>
      </c>
      <c r="F362" t="s">
        <v>115</v>
      </c>
      <c r="G362" t="s">
        <v>72</v>
      </c>
      <c r="H362">
        <v>71460.149999999994</v>
      </c>
      <c r="I362">
        <v>0</v>
      </c>
      <c r="J362">
        <v>71460.149999999994</v>
      </c>
      <c r="K362">
        <v>0</v>
      </c>
      <c r="L362">
        <v>0</v>
      </c>
    </row>
    <row r="363" spans="1:12" x14ac:dyDescent="0.25">
      <c r="A363" t="str">
        <f t="shared" si="5"/>
        <v>7311007P9012026M11</v>
      </c>
      <c r="B363">
        <v>51321001</v>
      </c>
      <c r="C363">
        <v>7</v>
      </c>
      <c r="D363">
        <v>73110</v>
      </c>
      <c r="E363" t="s">
        <v>77</v>
      </c>
      <c r="F363" t="s">
        <v>115</v>
      </c>
      <c r="G363" t="s">
        <v>73</v>
      </c>
      <c r="H363">
        <v>46052</v>
      </c>
      <c r="I363">
        <v>0</v>
      </c>
      <c r="J363">
        <v>46052</v>
      </c>
      <c r="K363">
        <v>0</v>
      </c>
      <c r="L363">
        <v>0</v>
      </c>
    </row>
    <row r="364" spans="1:12" x14ac:dyDescent="0.25">
      <c r="A364" t="str">
        <f t="shared" si="5"/>
        <v>7311007P9012026M12</v>
      </c>
      <c r="B364">
        <v>51321001</v>
      </c>
      <c r="C364">
        <v>7</v>
      </c>
      <c r="D364">
        <v>73110</v>
      </c>
      <c r="E364" t="s">
        <v>77</v>
      </c>
      <c r="F364" t="s">
        <v>115</v>
      </c>
      <c r="G364" t="s">
        <v>74</v>
      </c>
      <c r="H364">
        <v>92104</v>
      </c>
      <c r="I364">
        <v>0</v>
      </c>
      <c r="J364">
        <v>92104</v>
      </c>
      <c r="K364">
        <v>0</v>
      </c>
      <c r="L364">
        <v>0</v>
      </c>
    </row>
    <row r="365" spans="1:12" x14ac:dyDescent="0.25">
      <c r="A365" t="str">
        <f t="shared" si="5"/>
        <v>732000740D12026M02</v>
      </c>
      <c r="B365">
        <v>51321001</v>
      </c>
      <c r="C365">
        <v>7</v>
      </c>
      <c r="D365">
        <v>73200</v>
      </c>
      <c r="E365" t="s">
        <v>75</v>
      </c>
      <c r="F365" t="s">
        <v>115</v>
      </c>
      <c r="G365" t="s">
        <v>64</v>
      </c>
      <c r="H365">
        <v>0</v>
      </c>
      <c r="I365">
        <v>0</v>
      </c>
      <c r="J365">
        <v>0</v>
      </c>
      <c r="K365">
        <v>0</v>
      </c>
      <c r="L365">
        <v>0</v>
      </c>
    </row>
    <row r="366" spans="1:12" x14ac:dyDescent="0.25">
      <c r="A366" t="str">
        <f t="shared" si="5"/>
        <v>732000740D12026M03</v>
      </c>
      <c r="B366">
        <v>51321001</v>
      </c>
      <c r="C366">
        <v>7</v>
      </c>
      <c r="D366">
        <v>73200</v>
      </c>
      <c r="E366" t="s">
        <v>75</v>
      </c>
      <c r="F366" t="s">
        <v>115</v>
      </c>
      <c r="G366" t="s">
        <v>65</v>
      </c>
      <c r="H366">
        <v>0</v>
      </c>
      <c r="I366">
        <v>0</v>
      </c>
      <c r="J366">
        <v>0</v>
      </c>
      <c r="K366">
        <v>0</v>
      </c>
      <c r="L366">
        <v>0</v>
      </c>
    </row>
    <row r="367" spans="1:12" x14ac:dyDescent="0.25">
      <c r="A367" t="str">
        <f t="shared" si="5"/>
        <v>732000740D12026M04</v>
      </c>
      <c r="B367">
        <v>51321001</v>
      </c>
      <c r="C367">
        <v>7</v>
      </c>
      <c r="D367">
        <v>73200</v>
      </c>
      <c r="E367" t="s">
        <v>75</v>
      </c>
      <c r="F367" t="s">
        <v>115</v>
      </c>
      <c r="G367" t="s">
        <v>66</v>
      </c>
      <c r="H367">
        <v>0</v>
      </c>
      <c r="I367">
        <v>0</v>
      </c>
      <c r="J367">
        <v>0</v>
      </c>
      <c r="K367">
        <v>0</v>
      </c>
      <c r="L367">
        <v>0</v>
      </c>
    </row>
    <row r="368" spans="1:12" x14ac:dyDescent="0.25">
      <c r="A368" t="str">
        <f t="shared" si="5"/>
        <v>732000740D12026M05</v>
      </c>
      <c r="B368">
        <v>51321001</v>
      </c>
      <c r="C368">
        <v>7</v>
      </c>
      <c r="D368">
        <v>73200</v>
      </c>
      <c r="E368" t="s">
        <v>75</v>
      </c>
      <c r="F368" t="s">
        <v>115</v>
      </c>
      <c r="G368" t="s">
        <v>67</v>
      </c>
      <c r="H368">
        <v>41760</v>
      </c>
      <c r="I368">
        <v>41760</v>
      </c>
      <c r="J368">
        <v>0</v>
      </c>
      <c r="K368">
        <v>0</v>
      </c>
      <c r="L368">
        <v>0</v>
      </c>
    </row>
    <row r="369" spans="1:12" x14ac:dyDescent="0.25">
      <c r="A369" t="str">
        <f t="shared" si="5"/>
        <v>732000740D12026M06</v>
      </c>
      <c r="B369">
        <v>51321001</v>
      </c>
      <c r="C369">
        <v>7</v>
      </c>
      <c r="D369">
        <v>73200</v>
      </c>
      <c r="E369" t="s">
        <v>75</v>
      </c>
      <c r="F369" t="s">
        <v>115</v>
      </c>
      <c r="G369" t="s">
        <v>68</v>
      </c>
      <c r="H369">
        <v>10440</v>
      </c>
      <c r="I369">
        <v>10440</v>
      </c>
      <c r="J369">
        <v>0</v>
      </c>
      <c r="K369">
        <v>0</v>
      </c>
      <c r="L369">
        <v>0</v>
      </c>
    </row>
    <row r="370" spans="1:12" x14ac:dyDescent="0.25">
      <c r="A370" t="str">
        <f t="shared" si="5"/>
        <v>732000740D12026M07</v>
      </c>
      <c r="B370">
        <v>51321001</v>
      </c>
      <c r="C370">
        <v>7</v>
      </c>
      <c r="D370">
        <v>73200</v>
      </c>
      <c r="E370" t="s">
        <v>75</v>
      </c>
      <c r="F370" t="s">
        <v>115</v>
      </c>
      <c r="G370" t="s">
        <v>69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 x14ac:dyDescent="0.25">
      <c r="A371" t="str">
        <f t="shared" si="5"/>
        <v>732000740D12026M08</v>
      </c>
      <c r="B371">
        <v>51321001</v>
      </c>
      <c r="C371">
        <v>7</v>
      </c>
      <c r="D371">
        <v>73200</v>
      </c>
      <c r="E371" t="s">
        <v>75</v>
      </c>
      <c r="F371" t="s">
        <v>115</v>
      </c>
      <c r="G371" t="s">
        <v>70</v>
      </c>
      <c r="H371">
        <v>10440</v>
      </c>
      <c r="I371">
        <v>10440</v>
      </c>
      <c r="J371">
        <v>0</v>
      </c>
      <c r="K371">
        <v>0</v>
      </c>
      <c r="L371">
        <v>0</v>
      </c>
    </row>
    <row r="372" spans="1:12" x14ac:dyDescent="0.25">
      <c r="A372" t="str">
        <f t="shared" si="5"/>
        <v>732000740D12026M09</v>
      </c>
      <c r="B372">
        <v>51321001</v>
      </c>
      <c r="C372">
        <v>7</v>
      </c>
      <c r="D372">
        <v>73200</v>
      </c>
      <c r="E372" t="s">
        <v>75</v>
      </c>
      <c r="F372" t="s">
        <v>115</v>
      </c>
      <c r="G372" t="s">
        <v>71</v>
      </c>
      <c r="H372">
        <v>20880</v>
      </c>
      <c r="I372">
        <v>20880</v>
      </c>
      <c r="J372">
        <v>0</v>
      </c>
      <c r="K372">
        <v>0</v>
      </c>
      <c r="L372">
        <v>0</v>
      </c>
    </row>
    <row r="373" spans="1:12" x14ac:dyDescent="0.25">
      <c r="A373" t="str">
        <f t="shared" si="5"/>
        <v>732000740D12026M10</v>
      </c>
      <c r="B373">
        <v>51321001</v>
      </c>
      <c r="C373">
        <v>7</v>
      </c>
      <c r="D373">
        <v>73200</v>
      </c>
      <c r="E373" t="s">
        <v>75</v>
      </c>
      <c r="F373" t="s">
        <v>115</v>
      </c>
      <c r="G373" t="s">
        <v>72</v>
      </c>
      <c r="H373">
        <v>10440</v>
      </c>
      <c r="I373">
        <v>0</v>
      </c>
      <c r="J373">
        <v>10440</v>
      </c>
      <c r="K373">
        <v>0</v>
      </c>
      <c r="L373">
        <v>0</v>
      </c>
    </row>
    <row r="374" spans="1:12" x14ac:dyDescent="0.25">
      <c r="A374" t="str">
        <f t="shared" si="5"/>
        <v>732000740D12026M11</v>
      </c>
      <c r="B374">
        <v>51321001</v>
      </c>
      <c r="C374">
        <v>7</v>
      </c>
      <c r="D374">
        <v>73200</v>
      </c>
      <c r="E374" t="s">
        <v>75</v>
      </c>
      <c r="F374" t="s">
        <v>115</v>
      </c>
      <c r="G374" t="s">
        <v>73</v>
      </c>
      <c r="H374">
        <v>10440</v>
      </c>
      <c r="I374">
        <v>0</v>
      </c>
      <c r="J374">
        <v>10440</v>
      </c>
      <c r="K374">
        <v>0</v>
      </c>
      <c r="L374">
        <v>0</v>
      </c>
    </row>
    <row r="375" spans="1:12" x14ac:dyDescent="0.25">
      <c r="A375" t="str">
        <f t="shared" si="5"/>
        <v>732000740D12026M12</v>
      </c>
      <c r="B375">
        <v>51321001</v>
      </c>
      <c r="C375">
        <v>7</v>
      </c>
      <c r="D375">
        <v>73200</v>
      </c>
      <c r="E375" t="s">
        <v>75</v>
      </c>
      <c r="F375" t="s">
        <v>115</v>
      </c>
      <c r="G375" t="s">
        <v>74</v>
      </c>
      <c r="H375">
        <v>20880</v>
      </c>
      <c r="I375">
        <v>0</v>
      </c>
      <c r="J375">
        <v>20880</v>
      </c>
      <c r="K375">
        <v>0</v>
      </c>
      <c r="L375">
        <v>0</v>
      </c>
    </row>
    <row r="376" spans="1:12" x14ac:dyDescent="0.25">
      <c r="A376" t="str">
        <f t="shared" si="5"/>
        <v>732000740D82026M02</v>
      </c>
      <c r="B376">
        <v>51321001</v>
      </c>
      <c r="C376">
        <v>7</v>
      </c>
      <c r="D376">
        <v>73200</v>
      </c>
      <c r="E376" t="s">
        <v>76</v>
      </c>
      <c r="F376" t="s">
        <v>115</v>
      </c>
      <c r="G376" t="s">
        <v>64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25">
      <c r="A377" t="str">
        <f t="shared" si="5"/>
        <v>732000740D82026M03</v>
      </c>
      <c r="B377">
        <v>51321001</v>
      </c>
      <c r="C377">
        <v>7</v>
      </c>
      <c r="D377">
        <v>73200</v>
      </c>
      <c r="E377" t="s">
        <v>76</v>
      </c>
      <c r="F377" t="s">
        <v>115</v>
      </c>
      <c r="G377" t="s">
        <v>65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25">
      <c r="A378" t="str">
        <f t="shared" si="5"/>
        <v>732000740D82026M04</v>
      </c>
      <c r="B378">
        <v>51321001</v>
      </c>
      <c r="C378">
        <v>7</v>
      </c>
      <c r="D378">
        <v>73200</v>
      </c>
      <c r="E378" t="s">
        <v>76</v>
      </c>
      <c r="F378" t="s">
        <v>115</v>
      </c>
      <c r="G378" t="s">
        <v>66</v>
      </c>
      <c r="H378">
        <v>18270</v>
      </c>
      <c r="I378">
        <v>18270</v>
      </c>
      <c r="J378">
        <v>0</v>
      </c>
      <c r="K378">
        <v>0</v>
      </c>
      <c r="L378">
        <v>0</v>
      </c>
    </row>
    <row r="379" spans="1:12" x14ac:dyDescent="0.25">
      <c r="A379" t="str">
        <f t="shared" si="5"/>
        <v>732000740D82026M05</v>
      </c>
      <c r="B379">
        <v>51321001</v>
      </c>
      <c r="C379">
        <v>7</v>
      </c>
      <c r="D379">
        <v>73200</v>
      </c>
      <c r="E379" t="s">
        <v>76</v>
      </c>
      <c r="F379" t="s">
        <v>115</v>
      </c>
      <c r="G379" t="s">
        <v>67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 x14ac:dyDescent="0.25">
      <c r="A380" t="str">
        <f t="shared" si="5"/>
        <v>732000740D82026M06</v>
      </c>
      <c r="B380">
        <v>51321001</v>
      </c>
      <c r="C380">
        <v>7</v>
      </c>
      <c r="D380">
        <v>73200</v>
      </c>
      <c r="E380" t="s">
        <v>76</v>
      </c>
      <c r="F380" t="s">
        <v>115</v>
      </c>
      <c r="G380" t="s">
        <v>68</v>
      </c>
      <c r="H380">
        <v>12180</v>
      </c>
      <c r="I380">
        <v>12180</v>
      </c>
      <c r="J380">
        <v>0</v>
      </c>
      <c r="K380">
        <v>0</v>
      </c>
      <c r="L380">
        <v>0</v>
      </c>
    </row>
    <row r="381" spans="1:12" x14ac:dyDescent="0.25">
      <c r="A381" t="str">
        <f t="shared" si="5"/>
        <v>732000740D82026M07</v>
      </c>
      <c r="B381">
        <v>51321001</v>
      </c>
      <c r="C381">
        <v>7</v>
      </c>
      <c r="D381">
        <v>73200</v>
      </c>
      <c r="E381" t="s">
        <v>76</v>
      </c>
      <c r="F381" t="s">
        <v>115</v>
      </c>
      <c r="G381" t="s">
        <v>69</v>
      </c>
      <c r="H381">
        <v>6090</v>
      </c>
      <c r="I381">
        <v>6090</v>
      </c>
      <c r="J381">
        <v>0</v>
      </c>
      <c r="K381">
        <v>0</v>
      </c>
      <c r="L381">
        <v>0</v>
      </c>
    </row>
    <row r="382" spans="1:12" x14ac:dyDescent="0.25">
      <c r="A382" t="str">
        <f t="shared" si="5"/>
        <v>732000740D82026M08</v>
      </c>
      <c r="B382">
        <v>51321001</v>
      </c>
      <c r="C382">
        <v>7</v>
      </c>
      <c r="D382">
        <v>73200</v>
      </c>
      <c r="E382" t="s">
        <v>76</v>
      </c>
      <c r="F382" t="s">
        <v>115</v>
      </c>
      <c r="G382" t="s">
        <v>70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 x14ac:dyDescent="0.25">
      <c r="A383" t="str">
        <f t="shared" si="5"/>
        <v>732000740D82026M09</v>
      </c>
      <c r="B383">
        <v>51321001</v>
      </c>
      <c r="C383">
        <v>7</v>
      </c>
      <c r="D383">
        <v>73200</v>
      </c>
      <c r="E383" t="s">
        <v>76</v>
      </c>
      <c r="F383" t="s">
        <v>115</v>
      </c>
      <c r="G383" t="s">
        <v>71</v>
      </c>
      <c r="H383">
        <v>12180</v>
      </c>
      <c r="I383">
        <v>12180</v>
      </c>
      <c r="J383">
        <v>0</v>
      </c>
      <c r="K383">
        <v>0</v>
      </c>
      <c r="L383">
        <v>0</v>
      </c>
    </row>
    <row r="384" spans="1:12" x14ac:dyDescent="0.25">
      <c r="A384" t="str">
        <f t="shared" si="5"/>
        <v>732000740D82026M10</v>
      </c>
      <c r="B384">
        <v>51321001</v>
      </c>
      <c r="C384">
        <v>7</v>
      </c>
      <c r="D384">
        <v>73200</v>
      </c>
      <c r="E384" t="s">
        <v>76</v>
      </c>
      <c r="F384" t="s">
        <v>115</v>
      </c>
      <c r="G384" t="s">
        <v>72</v>
      </c>
      <c r="H384">
        <v>6090</v>
      </c>
      <c r="I384">
        <v>0</v>
      </c>
      <c r="J384">
        <v>6090</v>
      </c>
      <c r="K384">
        <v>0</v>
      </c>
      <c r="L384">
        <v>0</v>
      </c>
    </row>
    <row r="385" spans="1:12" x14ac:dyDescent="0.25">
      <c r="A385" t="str">
        <f t="shared" si="5"/>
        <v>732000740D82026M11</v>
      </c>
      <c r="B385">
        <v>51321001</v>
      </c>
      <c r="C385">
        <v>7</v>
      </c>
      <c r="D385">
        <v>73200</v>
      </c>
      <c r="E385" t="s">
        <v>76</v>
      </c>
      <c r="F385" t="s">
        <v>115</v>
      </c>
      <c r="G385" t="s">
        <v>73</v>
      </c>
      <c r="H385">
        <v>6090</v>
      </c>
      <c r="I385">
        <v>0</v>
      </c>
      <c r="J385">
        <v>6090</v>
      </c>
      <c r="K385">
        <v>0</v>
      </c>
      <c r="L385">
        <v>0</v>
      </c>
    </row>
    <row r="386" spans="1:12" x14ac:dyDescent="0.25">
      <c r="A386" t="str">
        <f t="shared" si="5"/>
        <v>732000740D82026M12</v>
      </c>
      <c r="B386">
        <v>51321001</v>
      </c>
      <c r="C386">
        <v>7</v>
      </c>
      <c r="D386">
        <v>73200</v>
      </c>
      <c r="E386" t="s">
        <v>76</v>
      </c>
      <c r="F386" t="s">
        <v>115</v>
      </c>
      <c r="G386" t="s">
        <v>74</v>
      </c>
      <c r="H386">
        <v>12180</v>
      </c>
      <c r="I386">
        <v>0</v>
      </c>
      <c r="J386">
        <v>12180</v>
      </c>
      <c r="K386">
        <v>0</v>
      </c>
      <c r="L386">
        <v>0</v>
      </c>
    </row>
    <row r="387" spans="1:12" x14ac:dyDescent="0.25">
      <c r="A387" t="str">
        <f t="shared" si="5"/>
        <v>140100791012026M02</v>
      </c>
      <c r="B387">
        <v>51321001</v>
      </c>
      <c r="C387">
        <v>7</v>
      </c>
      <c r="D387">
        <v>140100</v>
      </c>
      <c r="E387">
        <v>79101</v>
      </c>
      <c r="F387" t="s">
        <v>115</v>
      </c>
      <c r="G387" t="s">
        <v>64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 x14ac:dyDescent="0.25">
      <c r="A388" t="str">
        <f t="shared" si="5"/>
        <v>140100791012026M03</v>
      </c>
      <c r="B388">
        <v>51321001</v>
      </c>
      <c r="C388">
        <v>7</v>
      </c>
      <c r="D388">
        <v>140100</v>
      </c>
      <c r="E388">
        <v>79101</v>
      </c>
      <c r="F388" t="s">
        <v>115</v>
      </c>
      <c r="G388" t="s">
        <v>65</v>
      </c>
      <c r="H388">
        <v>45239.99</v>
      </c>
      <c r="I388">
        <v>45239.99</v>
      </c>
      <c r="J388">
        <v>0</v>
      </c>
      <c r="K388">
        <v>0</v>
      </c>
      <c r="L388">
        <v>0</v>
      </c>
    </row>
    <row r="389" spans="1:12" x14ac:dyDescent="0.25">
      <c r="A389" t="str">
        <f t="shared" si="5"/>
        <v>140100791012026M04</v>
      </c>
      <c r="B389">
        <v>51321001</v>
      </c>
      <c r="C389">
        <v>7</v>
      </c>
      <c r="D389">
        <v>140100</v>
      </c>
      <c r="E389">
        <v>79101</v>
      </c>
      <c r="F389" t="s">
        <v>115</v>
      </c>
      <c r="G389" t="s">
        <v>66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 x14ac:dyDescent="0.25">
      <c r="A390" t="str">
        <f t="shared" si="5"/>
        <v>140100791012026M05</v>
      </c>
      <c r="B390">
        <v>51321001</v>
      </c>
      <c r="C390">
        <v>7</v>
      </c>
      <c r="D390">
        <v>140100</v>
      </c>
      <c r="E390">
        <v>79101</v>
      </c>
      <c r="F390" t="s">
        <v>115</v>
      </c>
      <c r="G390" t="s">
        <v>67</v>
      </c>
      <c r="H390">
        <v>135720</v>
      </c>
      <c r="I390">
        <v>135720</v>
      </c>
      <c r="J390">
        <v>0</v>
      </c>
      <c r="K390">
        <v>0</v>
      </c>
      <c r="L390">
        <v>0</v>
      </c>
    </row>
    <row r="391" spans="1:12" x14ac:dyDescent="0.25">
      <c r="A391" t="str">
        <f t="shared" si="5"/>
        <v>140100791012026M06</v>
      </c>
      <c r="B391">
        <v>51321001</v>
      </c>
      <c r="C391">
        <v>7</v>
      </c>
      <c r="D391">
        <v>140100</v>
      </c>
      <c r="E391">
        <v>79101</v>
      </c>
      <c r="F391" t="s">
        <v>115</v>
      </c>
      <c r="G391" t="s">
        <v>68</v>
      </c>
      <c r="H391">
        <v>45239.98</v>
      </c>
      <c r="I391">
        <v>45239.98</v>
      </c>
      <c r="J391">
        <v>0</v>
      </c>
      <c r="K391">
        <v>0</v>
      </c>
      <c r="L391">
        <v>0</v>
      </c>
    </row>
    <row r="392" spans="1:12" x14ac:dyDescent="0.25">
      <c r="A392" t="str">
        <f t="shared" si="5"/>
        <v>140100791012026M07</v>
      </c>
      <c r="B392">
        <v>51321001</v>
      </c>
      <c r="C392">
        <v>7</v>
      </c>
      <c r="D392">
        <v>140100</v>
      </c>
      <c r="E392">
        <v>79101</v>
      </c>
      <c r="F392" t="s">
        <v>115</v>
      </c>
      <c r="G392" t="s">
        <v>69</v>
      </c>
      <c r="H392">
        <v>45240.01</v>
      </c>
      <c r="I392">
        <v>45240.01</v>
      </c>
      <c r="J392">
        <v>0</v>
      </c>
      <c r="K392">
        <v>0</v>
      </c>
      <c r="L392">
        <v>0</v>
      </c>
    </row>
    <row r="393" spans="1:12" x14ac:dyDescent="0.25">
      <c r="A393" t="str">
        <f t="shared" si="5"/>
        <v>140100791012026M08</v>
      </c>
      <c r="B393">
        <v>51321001</v>
      </c>
      <c r="C393">
        <v>7</v>
      </c>
      <c r="D393">
        <v>140100</v>
      </c>
      <c r="E393">
        <v>79101</v>
      </c>
      <c r="F393" t="s">
        <v>115</v>
      </c>
      <c r="G393" t="s">
        <v>70</v>
      </c>
      <c r="H393">
        <v>45240.01</v>
      </c>
      <c r="I393">
        <v>45240.01</v>
      </c>
      <c r="J393">
        <v>0</v>
      </c>
      <c r="K393">
        <v>0</v>
      </c>
      <c r="L393">
        <v>0</v>
      </c>
    </row>
    <row r="394" spans="1:12" x14ac:dyDescent="0.25">
      <c r="A394" t="str">
        <f t="shared" si="5"/>
        <v>140100791012026M09</v>
      </c>
      <c r="B394">
        <v>51321001</v>
      </c>
      <c r="C394">
        <v>7</v>
      </c>
      <c r="D394">
        <v>140100</v>
      </c>
      <c r="E394">
        <v>79101</v>
      </c>
      <c r="F394" t="s">
        <v>115</v>
      </c>
      <c r="G394" t="s">
        <v>71</v>
      </c>
      <c r="H394">
        <v>45240</v>
      </c>
      <c r="I394">
        <v>45240</v>
      </c>
      <c r="J394">
        <v>0</v>
      </c>
      <c r="K394">
        <v>0</v>
      </c>
      <c r="L394">
        <v>0</v>
      </c>
    </row>
    <row r="395" spans="1:12" x14ac:dyDescent="0.25">
      <c r="A395" t="str">
        <f t="shared" ref="A395:A458" si="6">D395&amp;E395&amp;G395</f>
        <v>140100791012026M10</v>
      </c>
      <c r="B395">
        <v>51321001</v>
      </c>
      <c r="C395">
        <v>7</v>
      </c>
      <c r="D395">
        <v>140100</v>
      </c>
      <c r="E395">
        <v>79101</v>
      </c>
      <c r="F395" t="s">
        <v>115</v>
      </c>
      <c r="G395" t="s">
        <v>72</v>
      </c>
      <c r="H395">
        <v>45240.01</v>
      </c>
      <c r="I395">
        <v>0</v>
      </c>
      <c r="J395">
        <v>45240.01</v>
      </c>
      <c r="K395">
        <v>0</v>
      </c>
      <c r="L395">
        <v>0</v>
      </c>
    </row>
    <row r="396" spans="1:12" x14ac:dyDescent="0.25">
      <c r="A396" t="str">
        <f t="shared" si="6"/>
        <v>140100791012026M11</v>
      </c>
      <c r="B396">
        <v>51321001</v>
      </c>
      <c r="C396">
        <v>7</v>
      </c>
      <c r="D396">
        <v>140100</v>
      </c>
      <c r="E396">
        <v>79101</v>
      </c>
      <c r="F396" t="s">
        <v>115</v>
      </c>
      <c r="G396" t="s">
        <v>73</v>
      </c>
      <c r="H396">
        <v>45240</v>
      </c>
      <c r="I396">
        <v>0</v>
      </c>
      <c r="J396">
        <v>45240</v>
      </c>
      <c r="K396">
        <v>0</v>
      </c>
      <c r="L396">
        <v>0</v>
      </c>
    </row>
    <row r="397" spans="1:12" x14ac:dyDescent="0.25">
      <c r="A397" t="str">
        <f t="shared" si="6"/>
        <v>140100791012026M12</v>
      </c>
      <c r="B397">
        <v>51321001</v>
      </c>
      <c r="C397">
        <v>7</v>
      </c>
      <c r="D397">
        <v>140100</v>
      </c>
      <c r="E397">
        <v>79101</v>
      </c>
      <c r="F397" t="s">
        <v>115</v>
      </c>
      <c r="G397" t="s">
        <v>74</v>
      </c>
      <c r="H397">
        <v>135780</v>
      </c>
      <c r="I397">
        <v>0</v>
      </c>
      <c r="J397">
        <v>135720</v>
      </c>
      <c r="K397">
        <v>0</v>
      </c>
      <c r="L397">
        <v>60</v>
      </c>
    </row>
    <row r="398" spans="1:12" x14ac:dyDescent="0.25">
      <c r="A398" t="str">
        <f t="shared" si="6"/>
        <v>310203754012026M02</v>
      </c>
      <c r="B398">
        <v>51321001</v>
      </c>
      <c r="C398">
        <v>7</v>
      </c>
      <c r="D398">
        <v>310203</v>
      </c>
      <c r="E398">
        <v>75401</v>
      </c>
      <c r="F398" t="s">
        <v>115</v>
      </c>
      <c r="G398" t="s">
        <v>64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25">
      <c r="A399" t="str">
        <f t="shared" si="6"/>
        <v>310203754012026M03</v>
      </c>
      <c r="B399">
        <v>51321001</v>
      </c>
      <c r="C399">
        <v>7</v>
      </c>
      <c r="D399">
        <v>310203</v>
      </c>
      <c r="E399">
        <v>75401</v>
      </c>
      <c r="F399" t="s">
        <v>115</v>
      </c>
      <c r="G399" t="s">
        <v>65</v>
      </c>
      <c r="H399">
        <v>18832</v>
      </c>
      <c r="I399">
        <v>18832</v>
      </c>
      <c r="J399">
        <v>0</v>
      </c>
      <c r="K399">
        <v>0</v>
      </c>
      <c r="L399">
        <v>0</v>
      </c>
    </row>
    <row r="400" spans="1:12" x14ac:dyDescent="0.25">
      <c r="A400" t="str">
        <f t="shared" si="6"/>
        <v>310203754012026M04</v>
      </c>
      <c r="B400">
        <v>51321001</v>
      </c>
      <c r="C400">
        <v>7</v>
      </c>
      <c r="D400">
        <v>310203</v>
      </c>
      <c r="E400">
        <v>75401</v>
      </c>
      <c r="F400" t="s">
        <v>115</v>
      </c>
      <c r="G400" t="s">
        <v>66</v>
      </c>
      <c r="H400">
        <v>9416</v>
      </c>
      <c r="I400">
        <v>9416</v>
      </c>
      <c r="J400">
        <v>0</v>
      </c>
      <c r="K400">
        <v>0</v>
      </c>
      <c r="L400">
        <v>0</v>
      </c>
    </row>
    <row r="401" spans="1:12" x14ac:dyDescent="0.25">
      <c r="A401" t="str">
        <f t="shared" si="6"/>
        <v>310203754012026M05</v>
      </c>
      <c r="B401">
        <v>51321001</v>
      </c>
      <c r="C401">
        <v>7</v>
      </c>
      <c r="D401">
        <v>310203</v>
      </c>
      <c r="E401">
        <v>75401</v>
      </c>
      <c r="F401" t="s">
        <v>115</v>
      </c>
      <c r="G401" t="s">
        <v>67</v>
      </c>
      <c r="H401">
        <v>9416</v>
      </c>
      <c r="I401">
        <v>9416</v>
      </c>
      <c r="J401">
        <v>0</v>
      </c>
      <c r="K401">
        <v>0</v>
      </c>
      <c r="L401">
        <v>0</v>
      </c>
    </row>
    <row r="402" spans="1:12" x14ac:dyDescent="0.25">
      <c r="A402" t="str">
        <f t="shared" si="6"/>
        <v>310203754012026M06</v>
      </c>
      <c r="B402">
        <v>51321001</v>
      </c>
      <c r="C402">
        <v>7</v>
      </c>
      <c r="D402">
        <v>310203</v>
      </c>
      <c r="E402">
        <v>75401</v>
      </c>
      <c r="F402" t="s">
        <v>115</v>
      </c>
      <c r="G402" t="s">
        <v>68</v>
      </c>
      <c r="H402">
        <v>9416</v>
      </c>
      <c r="I402">
        <v>9416</v>
      </c>
      <c r="J402">
        <v>0</v>
      </c>
      <c r="K402">
        <v>0</v>
      </c>
      <c r="L402">
        <v>0</v>
      </c>
    </row>
    <row r="403" spans="1:12" x14ac:dyDescent="0.25">
      <c r="A403" t="str">
        <f t="shared" si="6"/>
        <v>310203754012026M07</v>
      </c>
      <c r="B403">
        <v>51321001</v>
      </c>
      <c r="C403">
        <v>7</v>
      </c>
      <c r="D403">
        <v>310203</v>
      </c>
      <c r="E403">
        <v>75401</v>
      </c>
      <c r="F403" t="s">
        <v>115</v>
      </c>
      <c r="G403" t="s">
        <v>69</v>
      </c>
      <c r="H403">
        <v>9416</v>
      </c>
      <c r="I403">
        <v>9416</v>
      </c>
      <c r="J403">
        <v>0</v>
      </c>
      <c r="K403">
        <v>0</v>
      </c>
      <c r="L403">
        <v>0</v>
      </c>
    </row>
    <row r="404" spans="1:12" x14ac:dyDescent="0.25">
      <c r="A404" t="str">
        <f t="shared" si="6"/>
        <v>310203754012026M08</v>
      </c>
      <c r="B404">
        <v>51321001</v>
      </c>
      <c r="C404">
        <v>7</v>
      </c>
      <c r="D404">
        <v>310203</v>
      </c>
      <c r="E404">
        <v>75401</v>
      </c>
      <c r="F404" t="s">
        <v>115</v>
      </c>
      <c r="G404" t="s">
        <v>70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 x14ac:dyDescent="0.25">
      <c r="A405" t="str">
        <f t="shared" si="6"/>
        <v>310203754012026M09</v>
      </c>
      <c r="B405">
        <v>51321001</v>
      </c>
      <c r="C405">
        <v>7</v>
      </c>
      <c r="D405">
        <v>310203</v>
      </c>
      <c r="E405">
        <v>75401</v>
      </c>
      <c r="F405" t="s">
        <v>115</v>
      </c>
      <c r="G405" t="s">
        <v>71</v>
      </c>
      <c r="H405">
        <v>18832</v>
      </c>
      <c r="I405">
        <v>18832</v>
      </c>
      <c r="J405">
        <v>0</v>
      </c>
      <c r="K405">
        <v>0</v>
      </c>
      <c r="L405">
        <v>0</v>
      </c>
    </row>
    <row r="406" spans="1:12" x14ac:dyDescent="0.25">
      <c r="A406" t="str">
        <f t="shared" si="6"/>
        <v>310203754012026M10</v>
      </c>
      <c r="B406">
        <v>51321001</v>
      </c>
      <c r="C406">
        <v>7</v>
      </c>
      <c r="D406">
        <v>310203</v>
      </c>
      <c r="E406">
        <v>75401</v>
      </c>
      <c r="F406" t="s">
        <v>115</v>
      </c>
      <c r="G406" t="s">
        <v>72</v>
      </c>
      <c r="H406">
        <v>9425</v>
      </c>
      <c r="I406">
        <v>0</v>
      </c>
      <c r="J406">
        <v>9424.64</v>
      </c>
      <c r="K406">
        <v>0</v>
      </c>
      <c r="L406">
        <v>0.36</v>
      </c>
    </row>
    <row r="407" spans="1:12" x14ac:dyDescent="0.25">
      <c r="A407" t="str">
        <f t="shared" si="6"/>
        <v>310203754012026M11</v>
      </c>
      <c r="B407">
        <v>51321001</v>
      </c>
      <c r="C407">
        <v>7</v>
      </c>
      <c r="D407">
        <v>310203</v>
      </c>
      <c r="E407">
        <v>75401</v>
      </c>
      <c r="F407" t="s">
        <v>115</v>
      </c>
      <c r="G407" t="s">
        <v>73</v>
      </c>
      <c r="H407">
        <v>9417</v>
      </c>
      <c r="I407">
        <v>0</v>
      </c>
      <c r="J407">
        <v>9416.9599999999991</v>
      </c>
      <c r="K407">
        <v>0</v>
      </c>
      <c r="L407">
        <v>0.04</v>
      </c>
    </row>
    <row r="408" spans="1:12" x14ac:dyDescent="0.25">
      <c r="A408" t="str">
        <f t="shared" si="6"/>
        <v>310203754012026M12</v>
      </c>
      <c r="B408">
        <v>51321001</v>
      </c>
      <c r="C408">
        <v>7</v>
      </c>
      <c r="D408">
        <v>310203</v>
      </c>
      <c r="E408">
        <v>75401</v>
      </c>
      <c r="F408" t="s">
        <v>115</v>
      </c>
      <c r="G408" t="s">
        <v>74</v>
      </c>
      <c r="H408">
        <v>18834</v>
      </c>
      <c r="I408">
        <v>0</v>
      </c>
      <c r="J408">
        <v>18833.919999999998</v>
      </c>
      <c r="K408">
        <v>0</v>
      </c>
      <c r="L408">
        <v>0.08</v>
      </c>
    </row>
    <row r="409" spans="1:12" x14ac:dyDescent="0.25">
      <c r="A409" t="str">
        <f t="shared" si="6"/>
        <v>380200759012026M02</v>
      </c>
      <c r="B409">
        <v>51321001</v>
      </c>
      <c r="C409">
        <v>7</v>
      </c>
      <c r="D409">
        <v>380200</v>
      </c>
      <c r="E409">
        <v>75901</v>
      </c>
      <c r="F409" t="s">
        <v>115</v>
      </c>
      <c r="G409" t="s">
        <v>64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25">
      <c r="A410" t="str">
        <f t="shared" si="6"/>
        <v>380200759012026M03</v>
      </c>
      <c r="B410">
        <v>51321001</v>
      </c>
      <c r="C410">
        <v>7</v>
      </c>
      <c r="D410">
        <v>380200</v>
      </c>
      <c r="E410">
        <v>75901</v>
      </c>
      <c r="F410" t="s">
        <v>115</v>
      </c>
      <c r="G410" t="s">
        <v>65</v>
      </c>
      <c r="H410">
        <v>0</v>
      </c>
      <c r="I410">
        <v>0</v>
      </c>
      <c r="J410">
        <v>0</v>
      </c>
      <c r="K410">
        <v>0</v>
      </c>
      <c r="L410">
        <v>0</v>
      </c>
    </row>
    <row r="411" spans="1:12" x14ac:dyDescent="0.25">
      <c r="A411" t="str">
        <f t="shared" si="6"/>
        <v>380200759012026M04</v>
      </c>
      <c r="B411">
        <v>51321001</v>
      </c>
      <c r="C411">
        <v>7</v>
      </c>
      <c r="D411">
        <v>380200</v>
      </c>
      <c r="E411">
        <v>75901</v>
      </c>
      <c r="F411" t="s">
        <v>115</v>
      </c>
      <c r="G411" t="s">
        <v>66</v>
      </c>
      <c r="H411">
        <v>58000</v>
      </c>
      <c r="I411">
        <v>58000</v>
      </c>
      <c r="J411">
        <v>0</v>
      </c>
      <c r="K411">
        <v>0</v>
      </c>
      <c r="L411">
        <v>0</v>
      </c>
    </row>
    <row r="412" spans="1:12" x14ac:dyDescent="0.25">
      <c r="A412" t="str">
        <f t="shared" si="6"/>
        <v>380200759012026M05</v>
      </c>
      <c r="B412">
        <v>51321001</v>
      </c>
      <c r="C412">
        <v>7</v>
      </c>
      <c r="D412">
        <v>380200</v>
      </c>
      <c r="E412">
        <v>75901</v>
      </c>
      <c r="F412" t="s">
        <v>115</v>
      </c>
      <c r="G412" t="s">
        <v>67</v>
      </c>
      <c r="H412">
        <v>174000</v>
      </c>
      <c r="I412">
        <v>174000</v>
      </c>
      <c r="J412">
        <v>0</v>
      </c>
      <c r="K412">
        <v>0</v>
      </c>
      <c r="L412">
        <v>0</v>
      </c>
    </row>
    <row r="413" spans="1:12" x14ac:dyDescent="0.25">
      <c r="A413" t="str">
        <f t="shared" si="6"/>
        <v>380200759012026M06</v>
      </c>
      <c r="B413">
        <v>51321001</v>
      </c>
      <c r="C413">
        <v>7</v>
      </c>
      <c r="D413">
        <v>380200</v>
      </c>
      <c r="E413">
        <v>75901</v>
      </c>
      <c r="F413" t="s">
        <v>115</v>
      </c>
      <c r="G413" t="s">
        <v>68</v>
      </c>
      <c r="H413">
        <v>58000</v>
      </c>
      <c r="I413">
        <v>58000</v>
      </c>
      <c r="J413">
        <v>0</v>
      </c>
      <c r="K413">
        <v>0</v>
      </c>
      <c r="L413">
        <v>0</v>
      </c>
    </row>
    <row r="414" spans="1:12" x14ac:dyDescent="0.25">
      <c r="A414" t="str">
        <f t="shared" si="6"/>
        <v>380200759012026M07</v>
      </c>
      <c r="B414">
        <v>51321001</v>
      </c>
      <c r="C414">
        <v>7</v>
      </c>
      <c r="D414">
        <v>380200</v>
      </c>
      <c r="E414">
        <v>75901</v>
      </c>
      <c r="F414" t="s">
        <v>115</v>
      </c>
      <c r="G414" t="s">
        <v>69</v>
      </c>
      <c r="H414">
        <v>58000</v>
      </c>
      <c r="I414">
        <v>58000</v>
      </c>
      <c r="J414">
        <v>0</v>
      </c>
      <c r="K414">
        <v>0</v>
      </c>
      <c r="L414">
        <v>0</v>
      </c>
    </row>
    <row r="415" spans="1:12" x14ac:dyDescent="0.25">
      <c r="A415" t="str">
        <f t="shared" si="6"/>
        <v>380200759012026M08</v>
      </c>
      <c r="B415">
        <v>51321001</v>
      </c>
      <c r="C415">
        <v>7</v>
      </c>
      <c r="D415">
        <v>380200</v>
      </c>
      <c r="E415">
        <v>75901</v>
      </c>
      <c r="F415" t="s">
        <v>115</v>
      </c>
      <c r="G415" t="s">
        <v>70</v>
      </c>
      <c r="H415">
        <v>58000</v>
      </c>
      <c r="I415">
        <v>58000</v>
      </c>
      <c r="J415">
        <v>0</v>
      </c>
      <c r="K415">
        <v>0</v>
      </c>
      <c r="L415">
        <v>0</v>
      </c>
    </row>
    <row r="416" spans="1:12" x14ac:dyDescent="0.25">
      <c r="A416" t="str">
        <f t="shared" si="6"/>
        <v>380200759012026M09</v>
      </c>
      <c r="B416">
        <v>51321001</v>
      </c>
      <c r="C416">
        <v>7</v>
      </c>
      <c r="D416">
        <v>380200</v>
      </c>
      <c r="E416">
        <v>75901</v>
      </c>
      <c r="F416" t="s">
        <v>115</v>
      </c>
      <c r="G416" t="s">
        <v>71</v>
      </c>
      <c r="H416">
        <v>58000</v>
      </c>
      <c r="I416">
        <v>58000</v>
      </c>
      <c r="J416">
        <v>0</v>
      </c>
      <c r="K416">
        <v>0</v>
      </c>
      <c r="L416">
        <v>0</v>
      </c>
    </row>
    <row r="417" spans="1:12" x14ac:dyDescent="0.25">
      <c r="A417" t="str">
        <f t="shared" si="6"/>
        <v>380200759012026M10</v>
      </c>
      <c r="B417">
        <v>51321001</v>
      </c>
      <c r="C417">
        <v>7</v>
      </c>
      <c r="D417">
        <v>380200</v>
      </c>
      <c r="E417">
        <v>75901</v>
      </c>
      <c r="F417" t="s">
        <v>115</v>
      </c>
      <c r="G417" t="s">
        <v>72</v>
      </c>
      <c r="H417">
        <v>58000</v>
      </c>
      <c r="I417">
        <v>0</v>
      </c>
      <c r="J417">
        <v>58000</v>
      </c>
      <c r="K417">
        <v>0</v>
      </c>
      <c r="L417">
        <v>0</v>
      </c>
    </row>
    <row r="418" spans="1:12" x14ac:dyDescent="0.25">
      <c r="A418" t="str">
        <f t="shared" si="6"/>
        <v>380200759012026M11</v>
      </c>
      <c r="B418">
        <v>51321001</v>
      </c>
      <c r="C418">
        <v>7</v>
      </c>
      <c r="D418">
        <v>380200</v>
      </c>
      <c r="E418">
        <v>75901</v>
      </c>
      <c r="F418" t="s">
        <v>115</v>
      </c>
      <c r="G418" t="s">
        <v>73</v>
      </c>
      <c r="H418">
        <v>58000</v>
      </c>
      <c r="I418">
        <v>0</v>
      </c>
      <c r="J418">
        <v>58000</v>
      </c>
      <c r="K418">
        <v>0</v>
      </c>
      <c r="L418">
        <v>0</v>
      </c>
    </row>
    <row r="419" spans="1:12" x14ac:dyDescent="0.25">
      <c r="A419" t="str">
        <f t="shared" si="6"/>
        <v>380200759012026M12</v>
      </c>
      <c r="B419">
        <v>51321001</v>
      </c>
      <c r="C419">
        <v>7</v>
      </c>
      <c r="D419">
        <v>380200</v>
      </c>
      <c r="E419">
        <v>75901</v>
      </c>
      <c r="F419" t="s">
        <v>115</v>
      </c>
      <c r="G419" t="s">
        <v>74</v>
      </c>
      <c r="H419">
        <v>116000</v>
      </c>
      <c r="I419">
        <v>0</v>
      </c>
      <c r="J419">
        <v>116000</v>
      </c>
      <c r="K419">
        <v>0</v>
      </c>
      <c r="L419">
        <v>0</v>
      </c>
    </row>
    <row r="420" spans="1:12" x14ac:dyDescent="0.25">
      <c r="A420" t="str">
        <f t="shared" si="6"/>
        <v>380200759022026M02</v>
      </c>
      <c r="B420">
        <v>51321001</v>
      </c>
      <c r="C420">
        <v>7</v>
      </c>
      <c r="D420">
        <v>380200</v>
      </c>
      <c r="E420">
        <v>75902</v>
      </c>
      <c r="F420" t="s">
        <v>115</v>
      </c>
      <c r="G420" t="s">
        <v>64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 x14ac:dyDescent="0.25">
      <c r="A421" t="str">
        <f t="shared" si="6"/>
        <v>380200759022026M03</v>
      </c>
      <c r="B421">
        <v>51321001</v>
      </c>
      <c r="C421">
        <v>7</v>
      </c>
      <c r="D421">
        <v>380200</v>
      </c>
      <c r="E421">
        <v>75902</v>
      </c>
      <c r="F421" t="s">
        <v>115</v>
      </c>
      <c r="G421" t="s">
        <v>65</v>
      </c>
      <c r="H421">
        <v>0</v>
      </c>
      <c r="I421">
        <v>0</v>
      </c>
      <c r="J421">
        <v>0</v>
      </c>
      <c r="K421">
        <v>0</v>
      </c>
      <c r="L421">
        <v>0</v>
      </c>
    </row>
    <row r="422" spans="1:12" x14ac:dyDescent="0.25">
      <c r="A422" t="str">
        <f t="shared" si="6"/>
        <v>380200759022026M04</v>
      </c>
      <c r="B422">
        <v>51321001</v>
      </c>
      <c r="C422">
        <v>7</v>
      </c>
      <c r="D422">
        <v>380200</v>
      </c>
      <c r="E422">
        <v>75902</v>
      </c>
      <c r="F422" t="s">
        <v>115</v>
      </c>
      <c r="G422" t="s">
        <v>66</v>
      </c>
      <c r="H422">
        <v>0</v>
      </c>
      <c r="I422">
        <v>0</v>
      </c>
      <c r="J422">
        <v>0</v>
      </c>
      <c r="K422">
        <v>0</v>
      </c>
      <c r="L422">
        <v>0</v>
      </c>
    </row>
    <row r="423" spans="1:12" x14ac:dyDescent="0.25">
      <c r="A423" t="str">
        <f t="shared" si="6"/>
        <v>380200759022026M05</v>
      </c>
      <c r="B423">
        <v>51321001</v>
      </c>
      <c r="C423">
        <v>7</v>
      </c>
      <c r="D423">
        <v>380200</v>
      </c>
      <c r="E423">
        <v>75902</v>
      </c>
      <c r="F423" t="s">
        <v>115</v>
      </c>
      <c r="G423" t="s">
        <v>67</v>
      </c>
      <c r="H423">
        <v>0</v>
      </c>
      <c r="I423">
        <v>0</v>
      </c>
      <c r="J423">
        <v>0</v>
      </c>
      <c r="K423">
        <v>0</v>
      </c>
      <c r="L423">
        <v>0</v>
      </c>
    </row>
    <row r="424" spans="1:12" x14ac:dyDescent="0.25">
      <c r="A424" t="str">
        <f t="shared" si="6"/>
        <v>380200759022026M06</v>
      </c>
      <c r="B424">
        <v>51321001</v>
      </c>
      <c r="C424">
        <v>7</v>
      </c>
      <c r="D424">
        <v>380200</v>
      </c>
      <c r="E424">
        <v>75902</v>
      </c>
      <c r="F424" t="s">
        <v>115</v>
      </c>
      <c r="G424" t="s">
        <v>68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2" x14ac:dyDescent="0.25">
      <c r="A425" t="str">
        <f t="shared" si="6"/>
        <v>380200759022026M07</v>
      </c>
      <c r="B425">
        <v>51321001</v>
      </c>
      <c r="C425">
        <v>7</v>
      </c>
      <c r="D425">
        <v>380200</v>
      </c>
      <c r="E425">
        <v>75902</v>
      </c>
      <c r="F425" t="s">
        <v>115</v>
      </c>
      <c r="G425" t="s">
        <v>69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x14ac:dyDescent="0.25">
      <c r="A426" t="str">
        <f t="shared" si="6"/>
        <v>380200759022026M08</v>
      </c>
      <c r="B426">
        <v>51321001</v>
      </c>
      <c r="C426">
        <v>7</v>
      </c>
      <c r="D426">
        <v>380200</v>
      </c>
      <c r="E426">
        <v>75902</v>
      </c>
      <c r="F426" t="s">
        <v>115</v>
      </c>
      <c r="G426" t="s">
        <v>70</v>
      </c>
      <c r="H426">
        <v>0</v>
      </c>
      <c r="I426">
        <v>0</v>
      </c>
      <c r="J426">
        <v>0</v>
      </c>
      <c r="K426">
        <v>0</v>
      </c>
      <c r="L426">
        <v>0</v>
      </c>
    </row>
    <row r="427" spans="1:12" x14ac:dyDescent="0.25">
      <c r="A427" t="str">
        <f t="shared" si="6"/>
        <v>380200759022026M09</v>
      </c>
      <c r="B427">
        <v>51321001</v>
      </c>
      <c r="C427">
        <v>7</v>
      </c>
      <c r="D427">
        <v>380200</v>
      </c>
      <c r="E427">
        <v>75902</v>
      </c>
      <c r="F427" t="s">
        <v>115</v>
      </c>
      <c r="G427" t="s">
        <v>71</v>
      </c>
      <c r="H427">
        <v>0</v>
      </c>
      <c r="I427">
        <v>0</v>
      </c>
      <c r="J427">
        <v>0</v>
      </c>
      <c r="K427">
        <v>0</v>
      </c>
      <c r="L427">
        <v>0</v>
      </c>
    </row>
    <row r="428" spans="1:12" x14ac:dyDescent="0.25">
      <c r="A428" t="str">
        <f t="shared" si="6"/>
        <v>380200759022026M10</v>
      </c>
      <c r="B428">
        <v>51321001</v>
      </c>
      <c r="C428">
        <v>7</v>
      </c>
      <c r="D428">
        <v>380200</v>
      </c>
      <c r="E428">
        <v>75902</v>
      </c>
      <c r="F428" t="s">
        <v>115</v>
      </c>
      <c r="G428" t="s">
        <v>72</v>
      </c>
      <c r="H428">
        <v>0</v>
      </c>
      <c r="I428">
        <v>0</v>
      </c>
      <c r="J428">
        <v>0</v>
      </c>
      <c r="K428">
        <v>0</v>
      </c>
      <c r="L428">
        <v>0</v>
      </c>
    </row>
    <row r="429" spans="1:12" x14ac:dyDescent="0.25">
      <c r="A429" t="str">
        <f t="shared" si="6"/>
        <v>380200759022026M11</v>
      </c>
      <c r="B429">
        <v>51321001</v>
      </c>
      <c r="C429">
        <v>7</v>
      </c>
      <c r="D429">
        <v>380200</v>
      </c>
      <c r="E429">
        <v>75902</v>
      </c>
      <c r="F429" t="s">
        <v>115</v>
      </c>
      <c r="G429" t="s">
        <v>73</v>
      </c>
      <c r="H429">
        <v>0</v>
      </c>
      <c r="I429">
        <v>0</v>
      </c>
      <c r="J429">
        <v>0</v>
      </c>
      <c r="K429">
        <v>0</v>
      </c>
      <c r="L429">
        <v>0</v>
      </c>
    </row>
    <row r="430" spans="1:12" x14ac:dyDescent="0.25">
      <c r="A430" t="str">
        <f t="shared" si="6"/>
        <v>380200759022026M12</v>
      </c>
      <c r="B430">
        <v>51321001</v>
      </c>
      <c r="C430">
        <v>7</v>
      </c>
      <c r="D430">
        <v>380200</v>
      </c>
      <c r="E430">
        <v>75902</v>
      </c>
      <c r="F430" t="s">
        <v>115</v>
      </c>
      <c r="G430" t="s">
        <v>74</v>
      </c>
      <c r="H430">
        <v>0</v>
      </c>
      <c r="I430">
        <v>0</v>
      </c>
      <c r="J430">
        <v>0</v>
      </c>
      <c r="K430">
        <v>0</v>
      </c>
      <c r="L430">
        <v>0</v>
      </c>
    </row>
    <row r="431" spans="1:12" x14ac:dyDescent="0.25">
      <c r="A431" t="str">
        <f t="shared" si="6"/>
        <v>710100790012026M02</v>
      </c>
      <c r="B431">
        <v>51321001</v>
      </c>
      <c r="C431">
        <v>7</v>
      </c>
      <c r="D431">
        <v>710100</v>
      </c>
      <c r="E431">
        <v>79001</v>
      </c>
      <c r="F431" t="s">
        <v>115</v>
      </c>
      <c r="G431" t="s">
        <v>64</v>
      </c>
      <c r="H431">
        <v>0</v>
      </c>
      <c r="I431">
        <v>0</v>
      </c>
      <c r="J431">
        <v>0</v>
      </c>
      <c r="K431">
        <v>0</v>
      </c>
      <c r="L431">
        <v>0</v>
      </c>
    </row>
    <row r="432" spans="1:12" x14ac:dyDescent="0.25">
      <c r="A432" t="str">
        <f t="shared" si="6"/>
        <v>710100790012026M03</v>
      </c>
      <c r="B432">
        <v>51321001</v>
      </c>
      <c r="C432">
        <v>7</v>
      </c>
      <c r="D432">
        <v>710100</v>
      </c>
      <c r="E432">
        <v>79001</v>
      </c>
      <c r="F432" t="s">
        <v>115</v>
      </c>
      <c r="G432" t="s">
        <v>65</v>
      </c>
      <c r="H432">
        <v>0</v>
      </c>
      <c r="I432">
        <v>0</v>
      </c>
      <c r="J432">
        <v>0</v>
      </c>
      <c r="K432">
        <v>0</v>
      </c>
      <c r="L432">
        <v>0</v>
      </c>
    </row>
    <row r="433" spans="1:12" x14ac:dyDescent="0.25">
      <c r="A433" t="str">
        <f t="shared" si="6"/>
        <v>710100790012026M04</v>
      </c>
      <c r="B433">
        <v>51321001</v>
      </c>
      <c r="C433">
        <v>7</v>
      </c>
      <c r="D433">
        <v>710100</v>
      </c>
      <c r="E433">
        <v>79001</v>
      </c>
      <c r="F433" t="s">
        <v>115</v>
      </c>
      <c r="G433" t="s">
        <v>66</v>
      </c>
      <c r="H433">
        <v>171071.94</v>
      </c>
      <c r="I433">
        <v>171071.94</v>
      </c>
      <c r="J433">
        <v>0</v>
      </c>
      <c r="K433">
        <v>0</v>
      </c>
      <c r="L433">
        <v>0</v>
      </c>
    </row>
    <row r="434" spans="1:12" x14ac:dyDescent="0.25">
      <c r="A434" t="str">
        <f t="shared" si="6"/>
        <v>710100790012026M05</v>
      </c>
      <c r="B434">
        <v>51321001</v>
      </c>
      <c r="C434">
        <v>7</v>
      </c>
      <c r="D434">
        <v>710100</v>
      </c>
      <c r="E434">
        <v>79001</v>
      </c>
      <c r="F434" t="s">
        <v>115</v>
      </c>
      <c r="G434" t="s">
        <v>67</v>
      </c>
      <c r="H434">
        <v>57023.98</v>
      </c>
      <c r="I434">
        <v>57023.98</v>
      </c>
      <c r="J434">
        <v>0</v>
      </c>
      <c r="K434">
        <v>0</v>
      </c>
      <c r="L434">
        <v>0</v>
      </c>
    </row>
    <row r="435" spans="1:12" x14ac:dyDescent="0.25">
      <c r="A435" t="str">
        <f t="shared" si="6"/>
        <v>710100790012026M06</v>
      </c>
      <c r="B435">
        <v>51321001</v>
      </c>
      <c r="C435">
        <v>7</v>
      </c>
      <c r="D435">
        <v>710100</v>
      </c>
      <c r="E435">
        <v>79001</v>
      </c>
      <c r="F435" t="s">
        <v>115</v>
      </c>
      <c r="G435" t="s">
        <v>68</v>
      </c>
      <c r="H435">
        <v>57023.98</v>
      </c>
      <c r="I435">
        <v>57023.98</v>
      </c>
      <c r="J435">
        <v>0</v>
      </c>
      <c r="K435">
        <v>0</v>
      </c>
      <c r="L435">
        <v>0</v>
      </c>
    </row>
    <row r="436" spans="1:12" x14ac:dyDescent="0.25">
      <c r="A436" t="str">
        <f t="shared" si="6"/>
        <v>710100790012026M07</v>
      </c>
      <c r="B436">
        <v>51321001</v>
      </c>
      <c r="C436">
        <v>7</v>
      </c>
      <c r="D436">
        <v>710100</v>
      </c>
      <c r="E436">
        <v>79001</v>
      </c>
      <c r="F436" t="s">
        <v>115</v>
      </c>
      <c r="G436" t="s">
        <v>69</v>
      </c>
      <c r="H436">
        <v>57023.98</v>
      </c>
      <c r="I436">
        <v>57023.98</v>
      </c>
      <c r="J436">
        <v>0</v>
      </c>
      <c r="K436">
        <v>0</v>
      </c>
      <c r="L436">
        <v>0</v>
      </c>
    </row>
    <row r="437" spans="1:12" x14ac:dyDescent="0.25">
      <c r="A437" t="str">
        <f t="shared" si="6"/>
        <v>710100790012026M08</v>
      </c>
      <c r="B437">
        <v>51321001</v>
      </c>
      <c r="C437">
        <v>7</v>
      </c>
      <c r="D437">
        <v>710100</v>
      </c>
      <c r="E437">
        <v>79001</v>
      </c>
      <c r="F437" t="s">
        <v>115</v>
      </c>
      <c r="G437" t="s">
        <v>70</v>
      </c>
      <c r="H437">
        <v>0</v>
      </c>
      <c r="I437">
        <v>0</v>
      </c>
      <c r="J437">
        <v>0</v>
      </c>
      <c r="K437">
        <v>0</v>
      </c>
      <c r="L437">
        <v>0</v>
      </c>
    </row>
    <row r="438" spans="1:12" x14ac:dyDescent="0.25">
      <c r="A438" t="str">
        <f t="shared" si="6"/>
        <v>710100790012026M09</v>
      </c>
      <c r="B438">
        <v>51321001</v>
      </c>
      <c r="C438">
        <v>7</v>
      </c>
      <c r="D438">
        <v>710100</v>
      </c>
      <c r="E438">
        <v>79001</v>
      </c>
      <c r="F438" t="s">
        <v>115</v>
      </c>
      <c r="G438" t="s">
        <v>71</v>
      </c>
      <c r="H438">
        <v>114047.96</v>
      </c>
      <c r="I438">
        <v>114047.96</v>
      </c>
      <c r="J438">
        <v>0</v>
      </c>
      <c r="K438">
        <v>0</v>
      </c>
      <c r="L438">
        <v>0</v>
      </c>
    </row>
    <row r="439" spans="1:12" x14ac:dyDescent="0.25">
      <c r="A439" t="str">
        <f t="shared" si="6"/>
        <v>710100790012026M10</v>
      </c>
      <c r="B439">
        <v>51321001</v>
      </c>
      <c r="C439">
        <v>7</v>
      </c>
      <c r="D439">
        <v>710100</v>
      </c>
      <c r="E439">
        <v>79001</v>
      </c>
      <c r="F439" t="s">
        <v>115</v>
      </c>
      <c r="G439" t="s">
        <v>72</v>
      </c>
      <c r="H439">
        <v>57024.160000000003</v>
      </c>
      <c r="I439">
        <v>0</v>
      </c>
      <c r="J439">
        <v>57024.160000000003</v>
      </c>
      <c r="K439">
        <v>0</v>
      </c>
      <c r="L439">
        <v>0</v>
      </c>
    </row>
    <row r="440" spans="1:12" x14ac:dyDescent="0.25">
      <c r="A440" t="str">
        <f t="shared" si="6"/>
        <v>710100790012026M11</v>
      </c>
      <c r="B440">
        <v>51321001</v>
      </c>
      <c r="C440">
        <v>7</v>
      </c>
      <c r="D440">
        <v>710100</v>
      </c>
      <c r="E440">
        <v>79001</v>
      </c>
      <c r="F440" t="s">
        <v>115</v>
      </c>
      <c r="G440" t="s">
        <v>73</v>
      </c>
      <c r="H440">
        <v>57024</v>
      </c>
      <c r="I440">
        <v>0</v>
      </c>
      <c r="J440">
        <v>57024</v>
      </c>
      <c r="K440">
        <v>0</v>
      </c>
      <c r="L440">
        <v>0</v>
      </c>
    </row>
    <row r="441" spans="1:12" x14ac:dyDescent="0.25">
      <c r="A441" t="str">
        <f t="shared" si="6"/>
        <v>710100790012026M12</v>
      </c>
      <c r="B441">
        <v>51321001</v>
      </c>
      <c r="C441">
        <v>7</v>
      </c>
      <c r="D441">
        <v>710100</v>
      </c>
      <c r="E441">
        <v>79001</v>
      </c>
      <c r="F441" t="s">
        <v>115</v>
      </c>
      <c r="G441" t="s">
        <v>74</v>
      </c>
      <c r="H441">
        <v>114048</v>
      </c>
      <c r="I441">
        <v>0</v>
      </c>
      <c r="J441">
        <v>114048</v>
      </c>
      <c r="K441">
        <v>0</v>
      </c>
      <c r="L441">
        <v>0</v>
      </c>
    </row>
    <row r="442" spans="1:12" x14ac:dyDescent="0.25">
      <c r="A442" t="str">
        <f t="shared" si="6"/>
        <v>73110893032026M02</v>
      </c>
      <c r="B442">
        <v>51321001</v>
      </c>
      <c r="C442">
        <v>8</v>
      </c>
      <c r="D442">
        <v>73110</v>
      </c>
      <c r="E442">
        <v>89303</v>
      </c>
      <c r="F442" t="s">
        <v>115</v>
      </c>
      <c r="G442" t="s">
        <v>64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 x14ac:dyDescent="0.25">
      <c r="A443" t="str">
        <f t="shared" si="6"/>
        <v>73110893032026M03</v>
      </c>
      <c r="B443">
        <v>51321001</v>
      </c>
      <c r="C443">
        <v>8</v>
      </c>
      <c r="D443">
        <v>73110</v>
      </c>
      <c r="E443">
        <v>89303</v>
      </c>
      <c r="F443" t="s">
        <v>115</v>
      </c>
      <c r="G443" t="s">
        <v>65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2" x14ac:dyDescent="0.25">
      <c r="A444" t="str">
        <f t="shared" si="6"/>
        <v>73110893032026M04</v>
      </c>
      <c r="B444">
        <v>51321001</v>
      </c>
      <c r="C444">
        <v>8</v>
      </c>
      <c r="D444">
        <v>73110</v>
      </c>
      <c r="E444">
        <v>89303</v>
      </c>
      <c r="F444" t="s">
        <v>115</v>
      </c>
      <c r="G444" t="s">
        <v>66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25">
      <c r="A445" t="str">
        <f t="shared" si="6"/>
        <v>73110893032026M05</v>
      </c>
      <c r="B445">
        <v>51321001</v>
      </c>
      <c r="C445">
        <v>8</v>
      </c>
      <c r="D445">
        <v>73110</v>
      </c>
      <c r="E445">
        <v>89303</v>
      </c>
      <c r="F445" t="s">
        <v>115</v>
      </c>
      <c r="G445" t="s">
        <v>67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 t="str">
        <f t="shared" si="6"/>
        <v>73110893032026M06</v>
      </c>
      <c r="B446">
        <v>51321001</v>
      </c>
      <c r="C446">
        <v>8</v>
      </c>
      <c r="D446">
        <v>73110</v>
      </c>
      <c r="E446">
        <v>89303</v>
      </c>
      <c r="F446" t="s">
        <v>115</v>
      </c>
      <c r="G446" t="s">
        <v>68</v>
      </c>
      <c r="H446">
        <v>0</v>
      </c>
      <c r="I446">
        <v>0</v>
      </c>
      <c r="J446">
        <v>0</v>
      </c>
      <c r="K446">
        <v>0</v>
      </c>
      <c r="L446">
        <v>0</v>
      </c>
    </row>
    <row r="447" spans="1:12" x14ac:dyDescent="0.25">
      <c r="A447" t="str">
        <f t="shared" si="6"/>
        <v>73110893032026M07</v>
      </c>
      <c r="B447">
        <v>51321001</v>
      </c>
      <c r="C447">
        <v>8</v>
      </c>
      <c r="D447">
        <v>73110</v>
      </c>
      <c r="E447">
        <v>89303</v>
      </c>
      <c r="F447" t="s">
        <v>115</v>
      </c>
      <c r="G447" t="s">
        <v>69</v>
      </c>
      <c r="H447">
        <v>0</v>
      </c>
      <c r="I447">
        <v>0</v>
      </c>
      <c r="J447">
        <v>0</v>
      </c>
      <c r="K447">
        <v>0</v>
      </c>
      <c r="L447">
        <v>0</v>
      </c>
    </row>
    <row r="448" spans="1:12" x14ac:dyDescent="0.25">
      <c r="A448" t="str">
        <f t="shared" si="6"/>
        <v>73110893032026M08</v>
      </c>
      <c r="B448">
        <v>51321001</v>
      </c>
      <c r="C448">
        <v>8</v>
      </c>
      <c r="D448">
        <v>73110</v>
      </c>
      <c r="E448">
        <v>89303</v>
      </c>
      <c r="F448" t="s">
        <v>115</v>
      </c>
      <c r="G448" t="s">
        <v>70</v>
      </c>
      <c r="H448">
        <v>0</v>
      </c>
      <c r="I448">
        <v>0</v>
      </c>
      <c r="J448">
        <v>0</v>
      </c>
      <c r="K448">
        <v>0</v>
      </c>
      <c r="L448">
        <v>0</v>
      </c>
    </row>
    <row r="449" spans="1:12" x14ac:dyDescent="0.25">
      <c r="A449" t="str">
        <f t="shared" si="6"/>
        <v>73110893032026M09</v>
      </c>
      <c r="B449">
        <v>51321001</v>
      </c>
      <c r="C449">
        <v>8</v>
      </c>
      <c r="D449">
        <v>73110</v>
      </c>
      <c r="E449">
        <v>89303</v>
      </c>
      <c r="F449" t="s">
        <v>115</v>
      </c>
      <c r="G449" t="s">
        <v>71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 x14ac:dyDescent="0.25">
      <c r="A450" t="str">
        <f t="shared" si="6"/>
        <v>73110893032026M10</v>
      </c>
      <c r="B450">
        <v>51321001</v>
      </c>
      <c r="C450">
        <v>8</v>
      </c>
      <c r="D450">
        <v>73110</v>
      </c>
      <c r="E450">
        <v>89303</v>
      </c>
      <c r="F450" t="s">
        <v>115</v>
      </c>
      <c r="G450" t="s">
        <v>72</v>
      </c>
      <c r="H450">
        <v>0</v>
      </c>
      <c r="I450">
        <v>0</v>
      </c>
      <c r="J450">
        <v>0</v>
      </c>
      <c r="K450">
        <v>0</v>
      </c>
      <c r="L450">
        <v>0</v>
      </c>
    </row>
    <row r="451" spans="1:12" x14ac:dyDescent="0.25">
      <c r="A451" t="str">
        <f t="shared" si="6"/>
        <v>73110893032026M11</v>
      </c>
      <c r="B451">
        <v>51321001</v>
      </c>
      <c r="C451">
        <v>8</v>
      </c>
      <c r="D451">
        <v>73110</v>
      </c>
      <c r="E451">
        <v>89303</v>
      </c>
      <c r="F451" t="s">
        <v>115</v>
      </c>
      <c r="G451" t="s">
        <v>73</v>
      </c>
      <c r="H451">
        <v>0</v>
      </c>
      <c r="I451">
        <v>0</v>
      </c>
      <c r="J451">
        <v>0</v>
      </c>
      <c r="K451">
        <v>0</v>
      </c>
      <c r="L451">
        <v>0</v>
      </c>
    </row>
    <row r="452" spans="1:12" x14ac:dyDescent="0.25">
      <c r="A452" t="str">
        <f t="shared" si="6"/>
        <v>73110893032026M12</v>
      </c>
      <c r="B452">
        <v>51321001</v>
      </c>
      <c r="C452">
        <v>8</v>
      </c>
      <c r="D452">
        <v>73110</v>
      </c>
      <c r="E452">
        <v>89303</v>
      </c>
      <c r="F452" t="s">
        <v>115</v>
      </c>
      <c r="G452" t="s">
        <v>74</v>
      </c>
      <c r="H452">
        <v>0</v>
      </c>
      <c r="I452">
        <v>0</v>
      </c>
      <c r="J452">
        <v>0</v>
      </c>
      <c r="K452">
        <v>0</v>
      </c>
      <c r="L452">
        <v>0</v>
      </c>
    </row>
    <row r="453" spans="1:12" x14ac:dyDescent="0.25">
      <c r="A453" t="str">
        <f t="shared" si="6"/>
        <v>150900880012026M02</v>
      </c>
      <c r="B453">
        <v>51321001</v>
      </c>
      <c r="C453">
        <v>8</v>
      </c>
      <c r="D453">
        <v>150900</v>
      </c>
      <c r="E453">
        <v>88001</v>
      </c>
      <c r="F453" t="s">
        <v>115</v>
      </c>
      <c r="G453" t="s">
        <v>64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 x14ac:dyDescent="0.25">
      <c r="A454" t="str">
        <f t="shared" si="6"/>
        <v>150900880012026M03</v>
      </c>
      <c r="B454">
        <v>51321001</v>
      </c>
      <c r="C454">
        <v>8</v>
      </c>
      <c r="D454">
        <v>150900</v>
      </c>
      <c r="E454">
        <v>88001</v>
      </c>
      <c r="F454" t="s">
        <v>115</v>
      </c>
      <c r="G454" t="s">
        <v>65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 x14ac:dyDescent="0.25">
      <c r="A455" t="str">
        <f t="shared" si="6"/>
        <v>150900880012026M04</v>
      </c>
      <c r="B455">
        <v>51321001</v>
      </c>
      <c r="C455">
        <v>8</v>
      </c>
      <c r="D455">
        <v>150900</v>
      </c>
      <c r="E455">
        <v>88001</v>
      </c>
      <c r="F455" t="s">
        <v>115</v>
      </c>
      <c r="G455" t="s">
        <v>66</v>
      </c>
      <c r="H455">
        <v>551012.76</v>
      </c>
      <c r="I455">
        <v>551012.76</v>
      </c>
      <c r="J455">
        <v>0</v>
      </c>
      <c r="K455">
        <v>0</v>
      </c>
      <c r="L455">
        <v>0</v>
      </c>
    </row>
    <row r="456" spans="1:12" x14ac:dyDescent="0.25">
      <c r="A456" t="str">
        <f t="shared" si="6"/>
        <v>150900880012026M05</v>
      </c>
      <c r="B456">
        <v>51321001</v>
      </c>
      <c r="C456">
        <v>8</v>
      </c>
      <c r="D456">
        <v>150900</v>
      </c>
      <c r="E456">
        <v>88001</v>
      </c>
      <c r="F456" t="s">
        <v>115</v>
      </c>
      <c r="G456" t="s">
        <v>67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 x14ac:dyDescent="0.25">
      <c r="A457" t="str">
        <f t="shared" si="6"/>
        <v>150900880012026M06</v>
      </c>
      <c r="B457">
        <v>51321001</v>
      </c>
      <c r="C457">
        <v>8</v>
      </c>
      <c r="D457">
        <v>150900</v>
      </c>
      <c r="E457">
        <v>88001</v>
      </c>
      <c r="F457" t="s">
        <v>115</v>
      </c>
      <c r="G457" t="s">
        <v>68</v>
      </c>
      <c r="H457">
        <v>367341.84</v>
      </c>
      <c r="I457">
        <v>367341.84</v>
      </c>
      <c r="J457">
        <v>0</v>
      </c>
      <c r="K457">
        <v>0</v>
      </c>
      <c r="L457">
        <v>0</v>
      </c>
    </row>
    <row r="458" spans="1:12" x14ac:dyDescent="0.25">
      <c r="A458" t="str">
        <f t="shared" si="6"/>
        <v>150900880012026M07</v>
      </c>
      <c r="B458">
        <v>51321001</v>
      </c>
      <c r="C458">
        <v>8</v>
      </c>
      <c r="D458">
        <v>150900</v>
      </c>
      <c r="E458">
        <v>88001</v>
      </c>
      <c r="F458" t="s">
        <v>115</v>
      </c>
      <c r="G458" t="s">
        <v>69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 x14ac:dyDescent="0.25">
      <c r="A459" t="str">
        <f t="shared" ref="A459:A522" si="7">D459&amp;E459&amp;G459</f>
        <v>150900880012026M08</v>
      </c>
      <c r="B459">
        <v>51321001</v>
      </c>
      <c r="C459">
        <v>8</v>
      </c>
      <c r="D459">
        <v>150900</v>
      </c>
      <c r="E459">
        <v>88001</v>
      </c>
      <c r="F459" t="s">
        <v>115</v>
      </c>
      <c r="G459" t="s">
        <v>70</v>
      </c>
      <c r="H459">
        <v>183670.92</v>
      </c>
      <c r="I459">
        <v>183670.92</v>
      </c>
      <c r="J459">
        <v>0</v>
      </c>
      <c r="K459">
        <v>0</v>
      </c>
      <c r="L459">
        <v>0</v>
      </c>
    </row>
    <row r="460" spans="1:12" x14ac:dyDescent="0.25">
      <c r="A460" t="str">
        <f t="shared" si="7"/>
        <v>150900880012026M09</v>
      </c>
      <c r="B460">
        <v>51321001</v>
      </c>
      <c r="C460">
        <v>8</v>
      </c>
      <c r="D460">
        <v>150900</v>
      </c>
      <c r="E460">
        <v>88001</v>
      </c>
      <c r="F460" t="s">
        <v>115</v>
      </c>
      <c r="G460" t="s">
        <v>71</v>
      </c>
      <c r="H460">
        <v>367341.84</v>
      </c>
      <c r="I460">
        <v>367341.84</v>
      </c>
      <c r="J460">
        <v>0</v>
      </c>
      <c r="K460">
        <v>0</v>
      </c>
      <c r="L460">
        <v>0</v>
      </c>
    </row>
    <row r="461" spans="1:12" x14ac:dyDescent="0.25">
      <c r="A461" t="str">
        <f t="shared" si="7"/>
        <v>150900880012026M10</v>
      </c>
      <c r="B461">
        <v>51321001</v>
      </c>
      <c r="C461">
        <v>8</v>
      </c>
      <c r="D461">
        <v>150900</v>
      </c>
      <c r="E461">
        <v>88001</v>
      </c>
      <c r="F461" t="s">
        <v>115</v>
      </c>
      <c r="G461" t="s">
        <v>72</v>
      </c>
      <c r="H461">
        <v>183679.92</v>
      </c>
      <c r="I461">
        <v>0</v>
      </c>
      <c r="J461">
        <v>183670.92</v>
      </c>
      <c r="K461">
        <v>0</v>
      </c>
      <c r="L461">
        <v>9</v>
      </c>
    </row>
    <row r="462" spans="1:12" x14ac:dyDescent="0.25">
      <c r="A462" t="str">
        <f t="shared" si="7"/>
        <v>150900880012026M11</v>
      </c>
      <c r="B462">
        <v>51321001</v>
      </c>
      <c r="C462">
        <v>8</v>
      </c>
      <c r="D462">
        <v>150900</v>
      </c>
      <c r="E462">
        <v>88001</v>
      </c>
      <c r="F462" t="s">
        <v>115</v>
      </c>
      <c r="G462" t="s">
        <v>73</v>
      </c>
      <c r="H462">
        <v>183671.92</v>
      </c>
      <c r="I462">
        <v>0</v>
      </c>
      <c r="J462">
        <v>183670.92</v>
      </c>
      <c r="K462">
        <v>0</v>
      </c>
      <c r="L462">
        <v>1</v>
      </c>
    </row>
    <row r="463" spans="1:12" x14ac:dyDescent="0.25">
      <c r="A463" t="str">
        <f t="shared" si="7"/>
        <v>150900880012026M12</v>
      </c>
      <c r="B463">
        <v>51321001</v>
      </c>
      <c r="C463">
        <v>8</v>
      </c>
      <c r="D463">
        <v>150900</v>
      </c>
      <c r="E463">
        <v>88001</v>
      </c>
      <c r="F463" t="s">
        <v>115</v>
      </c>
      <c r="G463" t="s">
        <v>74</v>
      </c>
      <c r="H463">
        <v>367343.84</v>
      </c>
      <c r="I463">
        <v>0</v>
      </c>
      <c r="J463">
        <v>367341.84</v>
      </c>
      <c r="K463">
        <v>0</v>
      </c>
      <c r="L463">
        <v>2</v>
      </c>
    </row>
    <row r="464" spans="1:12" x14ac:dyDescent="0.25">
      <c r="A464" t="str">
        <f t="shared" si="7"/>
        <v>200200824082026M02</v>
      </c>
      <c r="B464">
        <v>51321001</v>
      </c>
      <c r="C464">
        <v>8</v>
      </c>
      <c r="D464">
        <v>200200</v>
      </c>
      <c r="E464">
        <v>82408</v>
      </c>
      <c r="F464" t="s">
        <v>115</v>
      </c>
      <c r="G464" t="s">
        <v>64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5">
      <c r="A465" t="str">
        <f t="shared" si="7"/>
        <v>200200824082026M03</v>
      </c>
      <c r="B465">
        <v>51321001</v>
      </c>
      <c r="C465">
        <v>8</v>
      </c>
      <c r="D465">
        <v>200200</v>
      </c>
      <c r="E465">
        <v>82408</v>
      </c>
      <c r="F465" t="s">
        <v>115</v>
      </c>
      <c r="G465" t="s">
        <v>65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 x14ac:dyDescent="0.25">
      <c r="A466" t="str">
        <f t="shared" si="7"/>
        <v>200200824082026M04</v>
      </c>
      <c r="B466">
        <v>51321001</v>
      </c>
      <c r="C466">
        <v>8</v>
      </c>
      <c r="D466">
        <v>200200</v>
      </c>
      <c r="E466">
        <v>82408</v>
      </c>
      <c r="F466" t="s">
        <v>115</v>
      </c>
      <c r="G466" t="s">
        <v>66</v>
      </c>
      <c r="H466">
        <v>51923.28</v>
      </c>
      <c r="I466">
        <v>51923.28</v>
      </c>
      <c r="J466">
        <v>0</v>
      </c>
      <c r="K466">
        <v>0</v>
      </c>
      <c r="L466">
        <v>0</v>
      </c>
    </row>
    <row r="467" spans="1:12" x14ac:dyDescent="0.25">
      <c r="A467" t="str">
        <f t="shared" si="7"/>
        <v>200200824082026M05</v>
      </c>
      <c r="B467">
        <v>51321001</v>
      </c>
      <c r="C467">
        <v>8</v>
      </c>
      <c r="D467">
        <v>200200</v>
      </c>
      <c r="E467">
        <v>82408</v>
      </c>
      <c r="F467" t="s">
        <v>115</v>
      </c>
      <c r="G467" t="s">
        <v>67</v>
      </c>
      <c r="H467">
        <v>17307.759999999998</v>
      </c>
      <c r="I467">
        <v>17307.759999999998</v>
      </c>
      <c r="J467">
        <v>0</v>
      </c>
      <c r="K467">
        <v>0</v>
      </c>
      <c r="L467">
        <v>0</v>
      </c>
    </row>
    <row r="468" spans="1:12" x14ac:dyDescent="0.25">
      <c r="A468" t="str">
        <f t="shared" si="7"/>
        <v>200200824082026M06</v>
      </c>
      <c r="B468">
        <v>51321001</v>
      </c>
      <c r="C468">
        <v>8</v>
      </c>
      <c r="D468">
        <v>200200</v>
      </c>
      <c r="E468">
        <v>82408</v>
      </c>
      <c r="F468" t="s">
        <v>115</v>
      </c>
      <c r="G468" t="s">
        <v>68</v>
      </c>
      <c r="H468">
        <v>17307.759999999998</v>
      </c>
      <c r="I468">
        <v>17307.759999999998</v>
      </c>
      <c r="J468">
        <v>0</v>
      </c>
      <c r="K468">
        <v>0</v>
      </c>
      <c r="L468">
        <v>0</v>
      </c>
    </row>
    <row r="469" spans="1:12" x14ac:dyDescent="0.25">
      <c r="A469" t="str">
        <f t="shared" si="7"/>
        <v>200200824082026M07</v>
      </c>
      <c r="B469">
        <v>51321001</v>
      </c>
      <c r="C469">
        <v>8</v>
      </c>
      <c r="D469">
        <v>200200</v>
      </c>
      <c r="E469">
        <v>82408</v>
      </c>
      <c r="F469" t="s">
        <v>115</v>
      </c>
      <c r="G469" t="s">
        <v>69</v>
      </c>
      <c r="H469">
        <v>17307.759999999998</v>
      </c>
      <c r="I469">
        <v>17307.759999999998</v>
      </c>
      <c r="J469">
        <v>0</v>
      </c>
      <c r="K469">
        <v>0</v>
      </c>
      <c r="L469">
        <v>0</v>
      </c>
    </row>
    <row r="470" spans="1:12" x14ac:dyDescent="0.25">
      <c r="A470" t="str">
        <f t="shared" si="7"/>
        <v>200200824082026M08</v>
      </c>
      <c r="B470">
        <v>51321001</v>
      </c>
      <c r="C470">
        <v>8</v>
      </c>
      <c r="D470">
        <v>200200</v>
      </c>
      <c r="E470">
        <v>82408</v>
      </c>
      <c r="F470" t="s">
        <v>115</v>
      </c>
      <c r="G470" t="s">
        <v>70</v>
      </c>
      <c r="H470">
        <v>17307.759999999998</v>
      </c>
      <c r="I470">
        <v>17307.759999999998</v>
      </c>
      <c r="J470">
        <v>0</v>
      </c>
      <c r="K470">
        <v>0</v>
      </c>
      <c r="L470">
        <v>0</v>
      </c>
    </row>
    <row r="471" spans="1:12" x14ac:dyDescent="0.25">
      <c r="A471" t="str">
        <f t="shared" si="7"/>
        <v>200200824082026M09</v>
      </c>
      <c r="B471">
        <v>51321001</v>
      </c>
      <c r="C471">
        <v>8</v>
      </c>
      <c r="D471">
        <v>200200</v>
      </c>
      <c r="E471">
        <v>82408</v>
      </c>
      <c r="F471" t="s">
        <v>115</v>
      </c>
      <c r="G471" t="s">
        <v>71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5">
      <c r="A472" t="str">
        <f t="shared" si="7"/>
        <v>200200824082026M10</v>
      </c>
      <c r="B472">
        <v>51321001</v>
      </c>
      <c r="C472">
        <v>8</v>
      </c>
      <c r="D472">
        <v>200200</v>
      </c>
      <c r="E472">
        <v>82408</v>
      </c>
      <c r="F472" t="s">
        <v>115</v>
      </c>
      <c r="G472" t="s">
        <v>72</v>
      </c>
      <c r="H472">
        <v>34626.68</v>
      </c>
      <c r="I472">
        <v>0</v>
      </c>
      <c r="J472">
        <v>34620.92</v>
      </c>
      <c r="K472">
        <v>0</v>
      </c>
      <c r="L472">
        <v>5.76</v>
      </c>
    </row>
    <row r="473" spans="1:12" x14ac:dyDescent="0.25">
      <c r="A473" t="str">
        <f t="shared" si="7"/>
        <v>200200824082026M11</v>
      </c>
      <c r="B473">
        <v>51321001</v>
      </c>
      <c r="C473">
        <v>8</v>
      </c>
      <c r="D473">
        <v>200200</v>
      </c>
      <c r="E473">
        <v>82408</v>
      </c>
      <c r="F473" t="s">
        <v>115</v>
      </c>
      <c r="G473" t="s">
        <v>73</v>
      </c>
      <c r="H473">
        <v>17309</v>
      </c>
      <c r="I473">
        <v>0</v>
      </c>
      <c r="J473">
        <v>17308.36</v>
      </c>
      <c r="K473">
        <v>0</v>
      </c>
      <c r="L473">
        <v>0.64</v>
      </c>
    </row>
    <row r="474" spans="1:12" x14ac:dyDescent="0.25">
      <c r="A474" t="str">
        <f t="shared" si="7"/>
        <v>200200824082026M12</v>
      </c>
      <c r="B474">
        <v>51321001</v>
      </c>
      <c r="C474">
        <v>8</v>
      </c>
      <c r="D474">
        <v>200200</v>
      </c>
      <c r="E474">
        <v>82408</v>
      </c>
      <c r="F474" t="s">
        <v>115</v>
      </c>
      <c r="G474" t="s">
        <v>74</v>
      </c>
      <c r="H474">
        <v>34618</v>
      </c>
      <c r="I474">
        <v>0</v>
      </c>
      <c r="J474">
        <v>34616.720000000001</v>
      </c>
      <c r="K474">
        <v>0</v>
      </c>
      <c r="L474">
        <v>1.28</v>
      </c>
    </row>
    <row r="475" spans="1:12" x14ac:dyDescent="0.25">
      <c r="A475" t="str">
        <f t="shared" si="7"/>
        <v>200200824352026M02</v>
      </c>
      <c r="B475">
        <v>51321001</v>
      </c>
      <c r="C475">
        <v>8</v>
      </c>
      <c r="D475">
        <v>200200</v>
      </c>
      <c r="E475">
        <v>82435</v>
      </c>
      <c r="F475" t="s">
        <v>115</v>
      </c>
      <c r="G475" t="s">
        <v>64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 t="str">
        <f t="shared" si="7"/>
        <v>200200824352026M03</v>
      </c>
      <c r="B476">
        <v>51321001</v>
      </c>
      <c r="C476">
        <v>8</v>
      </c>
      <c r="D476">
        <v>200200</v>
      </c>
      <c r="E476">
        <v>82435</v>
      </c>
      <c r="F476" t="s">
        <v>115</v>
      </c>
      <c r="G476" t="s">
        <v>65</v>
      </c>
      <c r="H476">
        <v>25884.240000000002</v>
      </c>
      <c r="I476">
        <v>25884.240000000002</v>
      </c>
      <c r="J476">
        <v>0</v>
      </c>
      <c r="K476">
        <v>0</v>
      </c>
      <c r="L476">
        <v>0</v>
      </c>
    </row>
    <row r="477" spans="1:12" x14ac:dyDescent="0.25">
      <c r="A477" t="str">
        <f t="shared" si="7"/>
        <v>200200824352026M04</v>
      </c>
      <c r="B477">
        <v>51321001</v>
      </c>
      <c r="C477">
        <v>8</v>
      </c>
      <c r="D477">
        <v>200200</v>
      </c>
      <c r="E477">
        <v>82435</v>
      </c>
      <c r="F477" t="s">
        <v>115</v>
      </c>
      <c r="G477" t="s">
        <v>66</v>
      </c>
      <c r="H477">
        <v>12942.12</v>
      </c>
      <c r="I477">
        <v>12942.12</v>
      </c>
      <c r="J477">
        <v>0</v>
      </c>
      <c r="K477">
        <v>0</v>
      </c>
      <c r="L477">
        <v>0</v>
      </c>
    </row>
    <row r="478" spans="1:12" x14ac:dyDescent="0.25">
      <c r="A478" t="str">
        <f t="shared" si="7"/>
        <v>200200824352026M05</v>
      </c>
      <c r="B478">
        <v>51321001</v>
      </c>
      <c r="C478">
        <v>8</v>
      </c>
      <c r="D478">
        <v>200200</v>
      </c>
      <c r="E478">
        <v>82435</v>
      </c>
      <c r="F478" t="s">
        <v>115</v>
      </c>
      <c r="G478" t="s">
        <v>67</v>
      </c>
      <c r="H478">
        <v>0</v>
      </c>
      <c r="I478">
        <v>0</v>
      </c>
      <c r="J478">
        <v>0</v>
      </c>
      <c r="K478">
        <v>0</v>
      </c>
      <c r="L478">
        <v>0</v>
      </c>
    </row>
    <row r="479" spans="1:12" x14ac:dyDescent="0.25">
      <c r="A479" t="str">
        <f t="shared" si="7"/>
        <v>200200824352026M06</v>
      </c>
      <c r="B479">
        <v>51321001</v>
      </c>
      <c r="C479">
        <v>8</v>
      </c>
      <c r="D479">
        <v>200200</v>
      </c>
      <c r="E479">
        <v>82435</v>
      </c>
      <c r="F479" t="s">
        <v>115</v>
      </c>
      <c r="G479" t="s">
        <v>68</v>
      </c>
      <c r="H479">
        <v>25884.240000000002</v>
      </c>
      <c r="I479">
        <v>25884.240000000002</v>
      </c>
      <c r="J479">
        <v>0</v>
      </c>
      <c r="K479">
        <v>0</v>
      </c>
      <c r="L479">
        <v>0</v>
      </c>
    </row>
    <row r="480" spans="1:12" x14ac:dyDescent="0.25">
      <c r="A480" t="str">
        <f t="shared" si="7"/>
        <v>200200824352026M07</v>
      </c>
      <c r="B480">
        <v>51321001</v>
      </c>
      <c r="C480">
        <v>8</v>
      </c>
      <c r="D480">
        <v>200200</v>
      </c>
      <c r="E480">
        <v>82435</v>
      </c>
      <c r="F480" t="s">
        <v>115</v>
      </c>
      <c r="G480" t="s">
        <v>69</v>
      </c>
      <c r="H480">
        <v>12942.12</v>
      </c>
      <c r="I480">
        <v>12942.12</v>
      </c>
      <c r="J480">
        <v>0</v>
      </c>
      <c r="K480">
        <v>0</v>
      </c>
      <c r="L480">
        <v>0</v>
      </c>
    </row>
    <row r="481" spans="1:12" x14ac:dyDescent="0.25">
      <c r="A481" t="str">
        <f t="shared" si="7"/>
        <v>200200824352026M08</v>
      </c>
      <c r="B481">
        <v>51321001</v>
      </c>
      <c r="C481">
        <v>8</v>
      </c>
      <c r="D481">
        <v>200200</v>
      </c>
      <c r="E481">
        <v>82435</v>
      </c>
      <c r="F481" t="s">
        <v>115</v>
      </c>
      <c r="G481" t="s">
        <v>70</v>
      </c>
      <c r="H481">
        <v>12942.12</v>
      </c>
      <c r="I481">
        <v>12942.12</v>
      </c>
      <c r="J481">
        <v>0</v>
      </c>
      <c r="K481">
        <v>0</v>
      </c>
      <c r="L481">
        <v>0</v>
      </c>
    </row>
    <row r="482" spans="1:12" x14ac:dyDescent="0.25">
      <c r="A482" t="str">
        <f t="shared" si="7"/>
        <v>200200824352026M09</v>
      </c>
      <c r="B482">
        <v>51321001</v>
      </c>
      <c r="C482">
        <v>8</v>
      </c>
      <c r="D482">
        <v>200200</v>
      </c>
      <c r="E482">
        <v>82435</v>
      </c>
      <c r="F482" t="s">
        <v>115</v>
      </c>
      <c r="G482" t="s">
        <v>71</v>
      </c>
      <c r="H482">
        <v>12942.12</v>
      </c>
      <c r="I482">
        <v>12942.12</v>
      </c>
      <c r="J482">
        <v>0</v>
      </c>
      <c r="K482">
        <v>0</v>
      </c>
      <c r="L482">
        <v>0</v>
      </c>
    </row>
    <row r="483" spans="1:12" x14ac:dyDescent="0.25">
      <c r="A483" t="str">
        <f t="shared" si="7"/>
        <v>200200824352026M10</v>
      </c>
      <c r="B483">
        <v>51321001</v>
      </c>
      <c r="C483">
        <v>8</v>
      </c>
      <c r="D483">
        <v>200200</v>
      </c>
      <c r="E483">
        <v>82435</v>
      </c>
      <c r="F483" t="s">
        <v>115</v>
      </c>
      <c r="G483" t="s">
        <v>72</v>
      </c>
      <c r="H483">
        <v>12950.04</v>
      </c>
      <c r="I483">
        <v>12942.12</v>
      </c>
      <c r="J483">
        <v>0</v>
      </c>
      <c r="K483">
        <v>0</v>
      </c>
      <c r="L483">
        <v>7.92</v>
      </c>
    </row>
    <row r="484" spans="1:12" x14ac:dyDescent="0.25">
      <c r="A484" t="str">
        <f t="shared" si="7"/>
        <v>200200824352026M11</v>
      </c>
      <c r="B484">
        <v>51321001</v>
      </c>
      <c r="C484">
        <v>8</v>
      </c>
      <c r="D484">
        <v>200200</v>
      </c>
      <c r="E484">
        <v>82435</v>
      </c>
      <c r="F484" t="s">
        <v>115</v>
      </c>
      <c r="G484" t="s">
        <v>73</v>
      </c>
      <c r="H484">
        <v>12943</v>
      </c>
      <c r="I484">
        <v>0</v>
      </c>
      <c r="J484">
        <v>12942.12</v>
      </c>
      <c r="K484">
        <v>0</v>
      </c>
      <c r="L484">
        <v>0.88</v>
      </c>
    </row>
    <row r="485" spans="1:12" x14ac:dyDescent="0.25">
      <c r="A485" t="str">
        <f t="shared" si="7"/>
        <v>200200824352026M12</v>
      </c>
      <c r="B485">
        <v>51321001</v>
      </c>
      <c r="C485">
        <v>8</v>
      </c>
      <c r="D485">
        <v>200200</v>
      </c>
      <c r="E485">
        <v>82435</v>
      </c>
      <c r="F485" t="s">
        <v>115</v>
      </c>
      <c r="G485" t="s">
        <v>74</v>
      </c>
      <c r="H485">
        <v>25886</v>
      </c>
      <c r="I485">
        <v>0</v>
      </c>
      <c r="J485">
        <v>25884.240000000002</v>
      </c>
      <c r="K485">
        <v>0</v>
      </c>
      <c r="L485">
        <v>1.76</v>
      </c>
    </row>
    <row r="486" spans="1:12" x14ac:dyDescent="0.25">
      <c r="A486" t="str">
        <f t="shared" si="7"/>
        <v>200200824382026M02</v>
      </c>
      <c r="B486">
        <v>51321001</v>
      </c>
      <c r="C486">
        <v>8</v>
      </c>
      <c r="D486">
        <v>200200</v>
      </c>
      <c r="E486">
        <v>82438</v>
      </c>
      <c r="F486" t="s">
        <v>115</v>
      </c>
      <c r="G486" t="s">
        <v>64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25">
      <c r="A487" t="str">
        <f t="shared" si="7"/>
        <v>200200824382026M03</v>
      </c>
      <c r="B487">
        <v>51321001</v>
      </c>
      <c r="C487">
        <v>8</v>
      </c>
      <c r="D487">
        <v>200200</v>
      </c>
      <c r="E487">
        <v>82438</v>
      </c>
      <c r="F487" t="s">
        <v>115</v>
      </c>
      <c r="G487" t="s">
        <v>65</v>
      </c>
      <c r="H487">
        <v>9064.23</v>
      </c>
      <c r="I487">
        <v>9064.23</v>
      </c>
      <c r="J487">
        <v>0</v>
      </c>
      <c r="K487">
        <v>0</v>
      </c>
      <c r="L487">
        <v>0</v>
      </c>
    </row>
    <row r="488" spans="1:12" x14ac:dyDescent="0.25">
      <c r="A488" t="str">
        <f t="shared" si="7"/>
        <v>200200824382026M04</v>
      </c>
      <c r="B488">
        <v>51321001</v>
      </c>
      <c r="C488">
        <v>8</v>
      </c>
      <c r="D488">
        <v>200200</v>
      </c>
      <c r="E488">
        <v>82438</v>
      </c>
      <c r="F488" t="s">
        <v>115</v>
      </c>
      <c r="G488" t="s">
        <v>66</v>
      </c>
      <c r="H488">
        <v>18128.419999999998</v>
      </c>
      <c r="I488">
        <v>18128.419999999998</v>
      </c>
      <c r="J488">
        <v>0</v>
      </c>
      <c r="K488">
        <v>0</v>
      </c>
      <c r="L488">
        <v>0</v>
      </c>
    </row>
    <row r="489" spans="1:12" x14ac:dyDescent="0.25">
      <c r="A489" t="str">
        <f t="shared" si="7"/>
        <v>200200824382026M05</v>
      </c>
      <c r="B489">
        <v>51321001</v>
      </c>
      <c r="C489">
        <v>8</v>
      </c>
      <c r="D489">
        <v>200200</v>
      </c>
      <c r="E489">
        <v>82438</v>
      </c>
      <c r="F489" t="s">
        <v>115</v>
      </c>
      <c r="G489" t="s">
        <v>67</v>
      </c>
      <c r="H489">
        <v>9064.23</v>
      </c>
      <c r="I489">
        <v>9064.23</v>
      </c>
      <c r="J489">
        <v>0</v>
      </c>
      <c r="K489">
        <v>0</v>
      </c>
      <c r="L489">
        <v>0</v>
      </c>
    </row>
    <row r="490" spans="1:12" x14ac:dyDescent="0.25">
      <c r="A490" t="str">
        <f t="shared" si="7"/>
        <v>200200824382026M06</v>
      </c>
      <c r="B490">
        <v>51321001</v>
      </c>
      <c r="C490">
        <v>8</v>
      </c>
      <c r="D490">
        <v>200200</v>
      </c>
      <c r="E490">
        <v>82438</v>
      </c>
      <c r="F490" t="s">
        <v>115</v>
      </c>
      <c r="G490" t="s">
        <v>68</v>
      </c>
      <c r="H490">
        <v>9064.23</v>
      </c>
      <c r="I490">
        <v>9064.23</v>
      </c>
      <c r="J490">
        <v>0</v>
      </c>
      <c r="K490">
        <v>0</v>
      </c>
      <c r="L490">
        <v>0</v>
      </c>
    </row>
    <row r="491" spans="1:12" x14ac:dyDescent="0.25">
      <c r="A491" t="str">
        <f t="shared" si="7"/>
        <v>200200824382026M07</v>
      </c>
      <c r="B491">
        <v>51321001</v>
      </c>
      <c r="C491">
        <v>8</v>
      </c>
      <c r="D491">
        <v>200200</v>
      </c>
      <c r="E491">
        <v>82438</v>
      </c>
      <c r="F491" t="s">
        <v>115</v>
      </c>
      <c r="G491" t="s">
        <v>69</v>
      </c>
      <c r="H491">
        <v>9064.23</v>
      </c>
      <c r="I491">
        <v>9064.23</v>
      </c>
      <c r="J491">
        <v>0</v>
      </c>
      <c r="K491">
        <v>0</v>
      </c>
      <c r="L491">
        <v>0</v>
      </c>
    </row>
    <row r="492" spans="1:12" x14ac:dyDescent="0.25">
      <c r="A492" t="str">
        <f t="shared" si="7"/>
        <v>200200824382026M08</v>
      </c>
      <c r="B492">
        <v>51321001</v>
      </c>
      <c r="C492">
        <v>8</v>
      </c>
      <c r="D492">
        <v>200200</v>
      </c>
      <c r="E492">
        <v>82438</v>
      </c>
      <c r="F492" t="s">
        <v>115</v>
      </c>
      <c r="G492" t="s">
        <v>70</v>
      </c>
      <c r="H492">
        <v>9064.23</v>
      </c>
      <c r="I492">
        <v>9064.23</v>
      </c>
      <c r="J492">
        <v>0</v>
      </c>
      <c r="K492">
        <v>0</v>
      </c>
      <c r="L492">
        <v>0</v>
      </c>
    </row>
    <row r="493" spans="1:12" x14ac:dyDescent="0.25">
      <c r="A493" t="str">
        <f t="shared" si="7"/>
        <v>200200824382026M09</v>
      </c>
      <c r="B493">
        <v>51321001</v>
      </c>
      <c r="C493">
        <v>8</v>
      </c>
      <c r="D493">
        <v>200200</v>
      </c>
      <c r="E493">
        <v>82438</v>
      </c>
      <c r="F493" t="s">
        <v>115</v>
      </c>
      <c r="G493" t="s">
        <v>71</v>
      </c>
      <c r="H493">
        <v>9064.23</v>
      </c>
      <c r="I493">
        <v>9064.23</v>
      </c>
      <c r="J493">
        <v>0</v>
      </c>
      <c r="K493">
        <v>0</v>
      </c>
      <c r="L493">
        <v>0</v>
      </c>
    </row>
    <row r="494" spans="1:12" x14ac:dyDescent="0.25">
      <c r="A494" t="str">
        <f t="shared" si="7"/>
        <v>200200824382026M10</v>
      </c>
      <c r="B494">
        <v>51321001</v>
      </c>
      <c r="C494">
        <v>8</v>
      </c>
      <c r="D494">
        <v>200200</v>
      </c>
      <c r="E494">
        <v>82438</v>
      </c>
      <c r="F494" t="s">
        <v>115</v>
      </c>
      <c r="G494" t="s">
        <v>72</v>
      </c>
      <c r="H494">
        <v>9071.2000000000007</v>
      </c>
      <c r="I494">
        <v>0</v>
      </c>
      <c r="J494">
        <v>9064.36</v>
      </c>
      <c r="K494">
        <v>0</v>
      </c>
      <c r="L494">
        <v>6.84</v>
      </c>
    </row>
    <row r="495" spans="1:12" x14ac:dyDescent="0.25">
      <c r="A495" t="str">
        <f t="shared" si="7"/>
        <v>200200824382026M11</v>
      </c>
      <c r="B495">
        <v>51321001</v>
      </c>
      <c r="C495">
        <v>8</v>
      </c>
      <c r="D495">
        <v>200200</v>
      </c>
      <c r="E495">
        <v>82438</v>
      </c>
      <c r="F495" t="s">
        <v>115</v>
      </c>
      <c r="G495" t="s">
        <v>73</v>
      </c>
      <c r="H495">
        <v>9065</v>
      </c>
      <c r="I495">
        <v>0</v>
      </c>
      <c r="J495">
        <v>9064.24</v>
      </c>
      <c r="K495">
        <v>0</v>
      </c>
      <c r="L495">
        <v>0.76</v>
      </c>
    </row>
    <row r="496" spans="1:12" x14ac:dyDescent="0.25">
      <c r="A496" t="str">
        <f t="shared" si="7"/>
        <v>200200824382026M12</v>
      </c>
      <c r="B496">
        <v>51321001</v>
      </c>
      <c r="C496">
        <v>8</v>
      </c>
      <c r="D496">
        <v>200200</v>
      </c>
      <c r="E496">
        <v>82438</v>
      </c>
      <c r="F496" t="s">
        <v>115</v>
      </c>
      <c r="G496" t="s">
        <v>74</v>
      </c>
      <c r="H496">
        <v>18130</v>
      </c>
      <c r="I496">
        <v>0</v>
      </c>
      <c r="J496">
        <v>18128.48</v>
      </c>
      <c r="K496">
        <v>0</v>
      </c>
      <c r="L496">
        <v>1.52</v>
      </c>
    </row>
    <row r="497" spans="1:12" x14ac:dyDescent="0.25">
      <c r="A497" t="str">
        <f t="shared" si="7"/>
        <v>200200824422026M02</v>
      </c>
      <c r="B497">
        <v>51321001</v>
      </c>
      <c r="C497">
        <v>8</v>
      </c>
      <c r="D497">
        <v>200200</v>
      </c>
      <c r="E497">
        <v>82442</v>
      </c>
      <c r="F497" t="s">
        <v>115</v>
      </c>
      <c r="G497" t="s">
        <v>64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 x14ac:dyDescent="0.25">
      <c r="A498" t="str">
        <f t="shared" si="7"/>
        <v>200200824422026M03</v>
      </c>
      <c r="B498">
        <v>51321001</v>
      </c>
      <c r="C498">
        <v>8</v>
      </c>
      <c r="D498">
        <v>200200</v>
      </c>
      <c r="E498">
        <v>82442</v>
      </c>
      <c r="F498" t="s">
        <v>115</v>
      </c>
      <c r="G498" t="s">
        <v>65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25">
      <c r="A499" t="str">
        <f t="shared" si="7"/>
        <v>200200824422026M04</v>
      </c>
      <c r="B499">
        <v>51321001</v>
      </c>
      <c r="C499">
        <v>8</v>
      </c>
      <c r="D499">
        <v>200200</v>
      </c>
      <c r="E499">
        <v>82442</v>
      </c>
      <c r="F499" t="s">
        <v>115</v>
      </c>
      <c r="G499" t="s">
        <v>66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 x14ac:dyDescent="0.25">
      <c r="A500" t="str">
        <f t="shared" si="7"/>
        <v>200200824422026M05</v>
      </c>
      <c r="B500">
        <v>51321001</v>
      </c>
      <c r="C500">
        <v>8</v>
      </c>
      <c r="D500">
        <v>200200</v>
      </c>
      <c r="E500">
        <v>82442</v>
      </c>
      <c r="F500" t="s">
        <v>115</v>
      </c>
      <c r="G500" t="s">
        <v>67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5">
      <c r="A501" t="str">
        <f t="shared" si="7"/>
        <v>200200824422026M06</v>
      </c>
      <c r="B501">
        <v>51321001</v>
      </c>
      <c r="C501">
        <v>8</v>
      </c>
      <c r="D501">
        <v>200200</v>
      </c>
      <c r="E501">
        <v>82442</v>
      </c>
      <c r="F501" t="s">
        <v>115</v>
      </c>
      <c r="G501" t="s">
        <v>68</v>
      </c>
      <c r="H501">
        <v>21315</v>
      </c>
      <c r="I501">
        <v>21315</v>
      </c>
      <c r="J501">
        <v>0</v>
      </c>
      <c r="K501">
        <v>0</v>
      </c>
      <c r="L501">
        <v>0</v>
      </c>
    </row>
    <row r="502" spans="1:12" x14ac:dyDescent="0.25">
      <c r="A502" t="str">
        <f t="shared" si="7"/>
        <v>200200824422026M07</v>
      </c>
      <c r="B502">
        <v>51321001</v>
      </c>
      <c r="C502">
        <v>8</v>
      </c>
      <c r="D502">
        <v>200200</v>
      </c>
      <c r="E502">
        <v>82442</v>
      </c>
      <c r="F502" t="s">
        <v>115</v>
      </c>
      <c r="G502" t="s">
        <v>69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5">
      <c r="A503" t="str">
        <f t="shared" si="7"/>
        <v>200200824422026M08</v>
      </c>
      <c r="B503">
        <v>51321001</v>
      </c>
      <c r="C503">
        <v>8</v>
      </c>
      <c r="D503">
        <v>200200</v>
      </c>
      <c r="E503">
        <v>82442</v>
      </c>
      <c r="F503" t="s">
        <v>115</v>
      </c>
      <c r="G503" t="s">
        <v>70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2" x14ac:dyDescent="0.25">
      <c r="A504" t="str">
        <f t="shared" si="7"/>
        <v>200200824422026M09</v>
      </c>
      <c r="B504">
        <v>51321001</v>
      </c>
      <c r="C504">
        <v>8</v>
      </c>
      <c r="D504">
        <v>200200</v>
      </c>
      <c r="E504">
        <v>82442</v>
      </c>
      <c r="F504" t="s">
        <v>115</v>
      </c>
      <c r="G504" t="s">
        <v>71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 x14ac:dyDescent="0.25">
      <c r="A505" t="str">
        <f t="shared" si="7"/>
        <v>200200824422026M10</v>
      </c>
      <c r="B505">
        <v>51321001</v>
      </c>
      <c r="C505">
        <v>8</v>
      </c>
      <c r="D505">
        <v>200200</v>
      </c>
      <c r="E505">
        <v>82442</v>
      </c>
      <c r="F505" t="s">
        <v>115</v>
      </c>
      <c r="G505" t="s">
        <v>72</v>
      </c>
      <c r="H505">
        <v>17052</v>
      </c>
      <c r="I505">
        <v>0</v>
      </c>
      <c r="J505">
        <v>17052</v>
      </c>
      <c r="K505">
        <v>0</v>
      </c>
      <c r="L505">
        <v>0</v>
      </c>
    </row>
    <row r="506" spans="1:12" x14ac:dyDescent="0.25">
      <c r="A506" t="str">
        <f t="shared" si="7"/>
        <v>200200824422026M11</v>
      </c>
      <c r="B506">
        <v>51321001</v>
      </c>
      <c r="C506">
        <v>8</v>
      </c>
      <c r="D506">
        <v>200200</v>
      </c>
      <c r="E506">
        <v>82442</v>
      </c>
      <c r="F506" t="s">
        <v>115</v>
      </c>
      <c r="G506" t="s">
        <v>73</v>
      </c>
      <c r="H506">
        <v>4263</v>
      </c>
      <c r="I506">
        <v>0</v>
      </c>
      <c r="J506">
        <v>4263</v>
      </c>
      <c r="K506">
        <v>0</v>
      </c>
      <c r="L506">
        <v>0</v>
      </c>
    </row>
    <row r="507" spans="1:12" x14ac:dyDescent="0.25">
      <c r="A507" t="str">
        <f t="shared" si="7"/>
        <v>200200824422026M12</v>
      </c>
      <c r="B507">
        <v>51321001</v>
      </c>
      <c r="C507">
        <v>8</v>
      </c>
      <c r="D507">
        <v>200200</v>
      </c>
      <c r="E507">
        <v>82442</v>
      </c>
      <c r="F507" t="s">
        <v>115</v>
      </c>
      <c r="G507" t="s">
        <v>74</v>
      </c>
      <c r="H507">
        <v>8526</v>
      </c>
      <c r="I507">
        <v>0</v>
      </c>
      <c r="J507">
        <v>8526</v>
      </c>
      <c r="K507">
        <v>0</v>
      </c>
      <c r="L507">
        <v>0</v>
      </c>
    </row>
    <row r="508" spans="1:12" x14ac:dyDescent="0.25">
      <c r="A508" t="str">
        <f t="shared" si="7"/>
        <v>380200859012026M02</v>
      </c>
      <c r="B508">
        <v>51321001</v>
      </c>
      <c r="C508">
        <v>8</v>
      </c>
      <c r="D508">
        <v>380200</v>
      </c>
      <c r="E508">
        <v>85901</v>
      </c>
      <c r="F508" t="s">
        <v>115</v>
      </c>
      <c r="G508" t="s">
        <v>64</v>
      </c>
      <c r="H508">
        <v>0</v>
      </c>
      <c r="I508">
        <v>0</v>
      </c>
      <c r="J508">
        <v>0</v>
      </c>
      <c r="K508">
        <v>0</v>
      </c>
      <c r="L508">
        <v>0</v>
      </c>
    </row>
    <row r="509" spans="1:12" x14ac:dyDescent="0.25">
      <c r="A509" t="str">
        <f t="shared" si="7"/>
        <v>380200859012026M03</v>
      </c>
      <c r="B509">
        <v>51321001</v>
      </c>
      <c r="C509">
        <v>8</v>
      </c>
      <c r="D509">
        <v>380200</v>
      </c>
      <c r="E509">
        <v>85901</v>
      </c>
      <c r="F509" t="s">
        <v>115</v>
      </c>
      <c r="G509" t="s">
        <v>65</v>
      </c>
      <c r="H509">
        <v>0</v>
      </c>
      <c r="I509">
        <v>0</v>
      </c>
      <c r="J509">
        <v>0</v>
      </c>
      <c r="K509">
        <v>0</v>
      </c>
      <c r="L509">
        <v>0</v>
      </c>
    </row>
    <row r="510" spans="1:12" x14ac:dyDescent="0.25">
      <c r="A510" t="str">
        <f t="shared" si="7"/>
        <v>380200859012026M04</v>
      </c>
      <c r="B510">
        <v>51321001</v>
      </c>
      <c r="C510">
        <v>8</v>
      </c>
      <c r="D510">
        <v>380200</v>
      </c>
      <c r="E510">
        <v>85901</v>
      </c>
      <c r="F510" t="s">
        <v>115</v>
      </c>
      <c r="G510" t="s">
        <v>66</v>
      </c>
      <c r="H510">
        <v>73226.16</v>
      </c>
      <c r="I510">
        <v>73226.16</v>
      </c>
      <c r="J510">
        <v>0</v>
      </c>
      <c r="K510">
        <v>0</v>
      </c>
      <c r="L510">
        <v>0</v>
      </c>
    </row>
    <row r="511" spans="1:12" x14ac:dyDescent="0.25">
      <c r="A511" t="str">
        <f t="shared" si="7"/>
        <v>380200859012026M05</v>
      </c>
      <c r="B511">
        <v>51321001</v>
      </c>
      <c r="C511">
        <v>8</v>
      </c>
      <c r="D511">
        <v>380200</v>
      </c>
      <c r="E511">
        <v>85901</v>
      </c>
      <c r="F511" t="s">
        <v>115</v>
      </c>
      <c r="G511" t="s">
        <v>67</v>
      </c>
      <c r="H511">
        <v>24408.720000000001</v>
      </c>
      <c r="I511">
        <v>24408.720000000001</v>
      </c>
      <c r="J511">
        <v>0</v>
      </c>
      <c r="K511">
        <v>0</v>
      </c>
      <c r="L511">
        <v>0</v>
      </c>
    </row>
    <row r="512" spans="1:12" x14ac:dyDescent="0.25">
      <c r="A512" t="str">
        <f t="shared" si="7"/>
        <v>380200859012026M06</v>
      </c>
      <c r="B512">
        <v>51321001</v>
      </c>
      <c r="C512">
        <v>8</v>
      </c>
      <c r="D512">
        <v>380200</v>
      </c>
      <c r="E512">
        <v>85901</v>
      </c>
      <c r="F512" t="s">
        <v>115</v>
      </c>
      <c r="G512" t="s">
        <v>68</v>
      </c>
      <c r="H512">
        <v>24408.720000000001</v>
      </c>
      <c r="I512">
        <v>24408.720000000001</v>
      </c>
      <c r="J512">
        <v>0</v>
      </c>
      <c r="K512">
        <v>0</v>
      </c>
      <c r="L512">
        <v>0</v>
      </c>
    </row>
    <row r="513" spans="1:12" x14ac:dyDescent="0.25">
      <c r="A513" t="str">
        <f t="shared" si="7"/>
        <v>380200859012026M07</v>
      </c>
      <c r="B513">
        <v>51321001</v>
      </c>
      <c r="C513">
        <v>8</v>
      </c>
      <c r="D513">
        <v>380200</v>
      </c>
      <c r="E513">
        <v>85901</v>
      </c>
      <c r="F513" t="s">
        <v>115</v>
      </c>
      <c r="G513" t="s">
        <v>69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5">
      <c r="A514" t="str">
        <f t="shared" si="7"/>
        <v>380200859012026M08</v>
      </c>
      <c r="B514">
        <v>51321001</v>
      </c>
      <c r="C514">
        <v>8</v>
      </c>
      <c r="D514">
        <v>380200</v>
      </c>
      <c r="E514">
        <v>85901</v>
      </c>
      <c r="F514" t="s">
        <v>115</v>
      </c>
      <c r="G514" t="s">
        <v>70</v>
      </c>
      <c r="H514">
        <v>48817.440000000002</v>
      </c>
      <c r="I514">
        <v>48817.440000000002</v>
      </c>
      <c r="J514">
        <v>0</v>
      </c>
      <c r="K514">
        <v>0</v>
      </c>
      <c r="L514">
        <v>0</v>
      </c>
    </row>
    <row r="515" spans="1:12" x14ac:dyDescent="0.25">
      <c r="A515" t="str">
        <f t="shared" si="7"/>
        <v>380200859012026M09</v>
      </c>
      <c r="B515">
        <v>51321001</v>
      </c>
      <c r="C515">
        <v>8</v>
      </c>
      <c r="D515">
        <v>380200</v>
      </c>
      <c r="E515">
        <v>85901</v>
      </c>
      <c r="F515" t="s">
        <v>115</v>
      </c>
      <c r="G515" t="s">
        <v>71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 x14ac:dyDescent="0.25">
      <c r="A516" t="str">
        <f t="shared" si="7"/>
        <v>380200859012026M10</v>
      </c>
      <c r="B516">
        <v>51321001</v>
      </c>
      <c r="C516">
        <v>8</v>
      </c>
      <c r="D516">
        <v>380200</v>
      </c>
      <c r="E516">
        <v>85901</v>
      </c>
      <c r="F516" t="s">
        <v>115</v>
      </c>
      <c r="G516" t="s">
        <v>72</v>
      </c>
      <c r="H516">
        <v>48828.959999999999</v>
      </c>
      <c r="I516">
        <v>0</v>
      </c>
      <c r="J516">
        <v>48827.34</v>
      </c>
      <c r="K516">
        <v>0</v>
      </c>
      <c r="L516">
        <v>1.62</v>
      </c>
    </row>
    <row r="517" spans="1:12" x14ac:dyDescent="0.25">
      <c r="A517" t="str">
        <f t="shared" si="7"/>
        <v>380200859012026M11</v>
      </c>
      <c r="B517">
        <v>51321001</v>
      </c>
      <c r="C517">
        <v>8</v>
      </c>
      <c r="D517">
        <v>380200</v>
      </c>
      <c r="E517">
        <v>85901</v>
      </c>
      <c r="F517" t="s">
        <v>115</v>
      </c>
      <c r="G517" t="s">
        <v>73</v>
      </c>
      <c r="H517">
        <v>24410</v>
      </c>
      <c r="I517">
        <v>0</v>
      </c>
      <c r="J517">
        <v>24409.82</v>
      </c>
      <c r="K517">
        <v>0</v>
      </c>
      <c r="L517">
        <v>0.18</v>
      </c>
    </row>
    <row r="518" spans="1:12" x14ac:dyDescent="0.25">
      <c r="A518" t="str">
        <f t="shared" si="7"/>
        <v>380200859012026M12</v>
      </c>
      <c r="B518">
        <v>51321001</v>
      </c>
      <c r="C518">
        <v>8</v>
      </c>
      <c r="D518">
        <v>380200</v>
      </c>
      <c r="E518">
        <v>85901</v>
      </c>
      <c r="F518" t="s">
        <v>115</v>
      </c>
      <c r="G518" t="s">
        <v>74</v>
      </c>
      <c r="H518">
        <v>48820</v>
      </c>
      <c r="I518">
        <v>0</v>
      </c>
      <c r="J518">
        <v>48819.64</v>
      </c>
      <c r="K518">
        <v>0</v>
      </c>
      <c r="L518">
        <v>0.36</v>
      </c>
    </row>
    <row r="519" spans="1:12" x14ac:dyDescent="0.25">
      <c r="A519" t="str">
        <f t="shared" si="7"/>
        <v>380200859052026M02</v>
      </c>
      <c r="B519">
        <v>51321001</v>
      </c>
      <c r="C519">
        <v>8</v>
      </c>
      <c r="D519">
        <v>380200</v>
      </c>
      <c r="E519">
        <v>85905</v>
      </c>
      <c r="F519" t="s">
        <v>115</v>
      </c>
      <c r="G519" t="s">
        <v>64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 x14ac:dyDescent="0.25">
      <c r="A520" t="str">
        <f t="shared" si="7"/>
        <v>380200859052026M03</v>
      </c>
      <c r="B520">
        <v>51321001</v>
      </c>
      <c r="C520">
        <v>8</v>
      </c>
      <c r="D520">
        <v>380200</v>
      </c>
      <c r="E520">
        <v>85905</v>
      </c>
      <c r="F520" t="s">
        <v>115</v>
      </c>
      <c r="G520" t="s">
        <v>65</v>
      </c>
      <c r="H520">
        <v>0</v>
      </c>
      <c r="I520">
        <v>0</v>
      </c>
      <c r="J520">
        <v>0</v>
      </c>
      <c r="K520">
        <v>0</v>
      </c>
      <c r="L520">
        <v>0</v>
      </c>
    </row>
    <row r="521" spans="1:12" x14ac:dyDescent="0.25">
      <c r="A521" t="str">
        <f t="shared" si="7"/>
        <v>380200859052026M04</v>
      </c>
      <c r="B521">
        <v>51321001</v>
      </c>
      <c r="C521">
        <v>8</v>
      </c>
      <c r="D521">
        <v>380200</v>
      </c>
      <c r="E521">
        <v>85905</v>
      </c>
      <c r="F521" t="s">
        <v>115</v>
      </c>
      <c r="G521" t="s">
        <v>66</v>
      </c>
      <c r="H521">
        <v>0</v>
      </c>
      <c r="I521">
        <v>0</v>
      </c>
      <c r="J521">
        <v>0</v>
      </c>
      <c r="K521">
        <v>0</v>
      </c>
      <c r="L521">
        <v>0</v>
      </c>
    </row>
    <row r="522" spans="1:12" x14ac:dyDescent="0.25">
      <c r="A522" t="str">
        <f t="shared" si="7"/>
        <v>380200859052026M05</v>
      </c>
      <c r="B522">
        <v>51321001</v>
      </c>
      <c r="C522">
        <v>8</v>
      </c>
      <c r="D522">
        <v>380200</v>
      </c>
      <c r="E522">
        <v>85905</v>
      </c>
      <c r="F522" t="s">
        <v>115</v>
      </c>
      <c r="G522" t="s">
        <v>67</v>
      </c>
      <c r="H522">
        <v>0</v>
      </c>
      <c r="I522">
        <v>0</v>
      </c>
      <c r="J522">
        <v>0</v>
      </c>
      <c r="K522">
        <v>0</v>
      </c>
      <c r="L522">
        <v>0</v>
      </c>
    </row>
    <row r="523" spans="1:12" x14ac:dyDescent="0.25">
      <c r="A523" t="str">
        <f t="shared" ref="A523:A586" si="8">D523&amp;E523&amp;G523</f>
        <v>380200859052026M06</v>
      </c>
      <c r="B523">
        <v>51321001</v>
      </c>
      <c r="C523">
        <v>8</v>
      </c>
      <c r="D523">
        <v>380200</v>
      </c>
      <c r="E523">
        <v>85905</v>
      </c>
      <c r="F523" t="s">
        <v>115</v>
      </c>
      <c r="G523" t="s">
        <v>68</v>
      </c>
      <c r="H523">
        <v>337683.6</v>
      </c>
      <c r="I523">
        <v>337683.6</v>
      </c>
      <c r="J523">
        <v>0</v>
      </c>
      <c r="K523">
        <v>0</v>
      </c>
      <c r="L523">
        <v>0</v>
      </c>
    </row>
    <row r="524" spans="1:12" x14ac:dyDescent="0.25">
      <c r="A524" t="str">
        <f t="shared" si="8"/>
        <v>380200859052026M07</v>
      </c>
      <c r="B524">
        <v>51321001</v>
      </c>
      <c r="C524">
        <v>8</v>
      </c>
      <c r="D524">
        <v>380200</v>
      </c>
      <c r="E524">
        <v>85905</v>
      </c>
      <c r="F524" t="s">
        <v>115</v>
      </c>
      <c r="G524" t="s">
        <v>69</v>
      </c>
      <c r="H524">
        <v>0</v>
      </c>
      <c r="I524">
        <v>0</v>
      </c>
      <c r="J524">
        <v>0</v>
      </c>
      <c r="K524">
        <v>0</v>
      </c>
      <c r="L524">
        <v>0</v>
      </c>
    </row>
    <row r="525" spans="1:12" x14ac:dyDescent="0.25">
      <c r="A525" t="str">
        <f t="shared" si="8"/>
        <v>380200859052026M08</v>
      </c>
      <c r="B525">
        <v>51321001</v>
      </c>
      <c r="C525">
        <v>8</v>
      </c>
      <c r="D525">
        <v>380200</v>
      </c>
      <c r="E525">
        <v>85905</v>
      </c>
      <c r="F525" t="s">
        <v>115</v>
      </c>
      <c r="G525" t="s">
        <v>70</v>
      </c>
      <c r="H525">
        <v>0</v>
      </c>
      <c r="I525">
        <v>0</v>
      </c>
      <c r="J525">
        <v>0</v>
      </c>
      <c r="K525">
        <v>0</v>
      </c>
      <c r="L525">
        <v>0</v>
      </c>
    </row>
    <row r="526" spans="1:12" x14ac:dyDescent="0.25">
      <c r="A526" t="str">
        <f t="shared" si="8"/>
        <v>380200859052026M09</v>
      </c>
      <c r="B526">
        <v>51321001</v>
      </c>
      <c r="C526">
        <v>8</v>
      </c>
      <c r="D526">
        <v>380200</v>
      </c>
      <c r="E526">
        <v>85905</v>
      </c>
      <c r="F526" t="s">
        <v>115</v>
      </c>
      <c r="G526" t="s">
        <v>71</v>
      </c>
      <c r="H526">
        <v>0</v>
      </c>
      <c r="I526">
        <v>0</v>
      </c>
      <c r="J526">
        <v>0</v>
      </c>
      <c r="K526">
        <v>0</v>
      </c>
      <c r="L526">
        <v>0</v>
      </c>
    </row>
    <row r="527" spans="1:12" x14ac:dyDescent="0.25">
      <c r="A527" t="str">
        <f t="shared" si="8"/>
        <v>380200859052026M10</v>
      </c>
      <c r="B527">
        <v>51321001</v>
      </c>
      <c r="C527">
        <v>8</v>
      </c>
      <c r="D527">
        <v>380200</v>
      </c>
      <c r="E527">
        <v>85905</v>
      </c>
      <c r="F527" t="s">
        <v>115</v>
      </c>
      <c r="G527" t="s">
        <v>72</v>
      </c>
      <c r="H527">
        <v>270149.40000000002</v>
      </c>
      <c r="I527">
        <v>0</v>
      </c>
      <c r="J527">
        <v>270149.40000000002</v>
      </c>
      <c r="K527">
        <v>0</v>
      </c>
      <c r="L527">
        <v>0</v>
      </c>
    </row>
    <row r="528" spans="1:12" x14ac:dyDescent="0.25">
      <c r="A528" t="str">
        <f t="shared" si="8"/>
        <v>380200859052026M11</v>
      </c>
      <c r="B528">
        <v>51321001</v>
      </c>
      <c r="C528">
        <v>8</v>
      </c>
      <c r="D528">
        <v>380200</v>
      </c>
      <c r="E528">
        <v>85905</v>
      </c>
      <c r="F528" t="s">
        <v>115</v>
      </c>
      <c r="G528" t="s">
        <v>73</v>
      </c>
      <c r="H528">
        <v>67537</v>
      </c>
      <c r="I528">
        <v>0</v>
      </c>
      <c r="J528">
        <v>67537</v>
      </c>
      <c r="K528">
        <v>0</v>
      </c>
      <c r="L528">
        <v>0</v>
      </c>
    </row>
    <row r="529" spans="1:12" x14ac:dyDescent="0.25">
      <c r="A529" t="str">
        <f t="shared" si="8"/>
        <v>380200859052026M12</v>
      </c>
      <c r="B529">
        <v>51321001</v>
      </c>
      <c r="C529">
        <v>8</v>
      </c>
      <c r="D529">
        <v>380200</v>
      </c>
      <c r="E529">
        <v>85905</v>
      </c>
      <c r="F529" t="s">
        <v>115</v>
      </c>
      <c r="G529" t="s">
        <v>74</v>
      </c>
      <c r="H529">
        <v>135070.64000000001</v>
      </c>
      <c r="I529">
        <v>0</v>
      </c>
      <c r="J529">
        <v>135070.64000000001</v>
      </c>
      <c r="K529">
        <v>0</v>
      </c>
      <c r="L529">
        <v>0</v>
      </c>
    </row>
    <row r="530" spans="1:12" x14ac:dyDescent="0.25">
      <c r="A530" t="str">
        <f t="shared" si="8"/>
        <v>900110891022026M02</v>
      </c>
      <c r="B530">
        <v>51321001</v>
      </c>
      <c r="C530">
        <v>8</v>
      </c>
      <c r="D530">
        <v>900110</v>
      </c>
      <c r="E530">
        <v>89102</v>
      </c>
      <c r="F530" t="s">
        <v>115</v>
      </c>
      <c r="G530" t="s">
        <v>64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5">
      <c r="A531" t="str">
        <f t="shared" si="8"/>
        <v>900110891022026M03</v>
      </c>
      <c r="B531">
        <v>51321001</v>
      </c>
      <c r="C531">
        <v>8</v>
      </c>
      <c r="D531">
        <v>900110</v>
      </c>
      <c r="E531">
        <v>89102</v>
      </c>
      <c r="F531" t="s">
        <v>115</v>
      </c>
      <c r="G531" t="s">
        <v>65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5">
      <c r="A532" t="str">
        <f t="shared" si="8"/>
        <v>900110891022026M04</v>
      </c>
      <c r="B532">
        <v>51321001</v>
      </c>
      <c r="C532">
        <v>8</v>
      </c>
      <c r="D532">
        <v>900110</v>
      </c>
      <c r="E532">
        <v>89102</v>
      </c>
      <c r="F532" t="s">
        <v>115</v>
      </c>
      <c r="G532" t="s">
        <v>66</v>
      </c>
      <c r="H532">
        <v>0</v>
      </c>
      <c r="I532">
        <v>0</v>
      </c>
      <c r="J532">
        <v>0</v>
      </c>
      <c r="K532">
        <v>0</v>
      </c>
      <c r="L532">
        <v>0</v>
      </c>
    </row>
    <row r="533" spans="1:12" x14ac:dyDescent="0.25">
      <c r="A533" t="str">
        <f t="shared" si="8"/>
        <v>900110891022026M05</v>
      </c>
      <c r="B533">
        <v>51321001</v>
      </c>
      <c r="C533">
        <v>8</v>
      </c>
      <c r="D533">
        <v>900110</v>
      </c>
      <c r="E533">
        <v>89102</v>
      </c>
      <c r="F533" t="s">
        <v>115</v>
      </c>
      <c r="G533" t="s">
        <v>67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 x14ac:dyDescent="0.25">
      <c r="A534" t="str">
        <f t="shared" si="8"/>
        <v>900110891022026M06</v>
      </c>
      <c r="B534">
        <v>51321001</v>
      </c>
      <c r="C534">
        <v>8</v>
      </c>
      <c r="D534">
        <v>900110</v>
      </c>
      <c r="E534">
        <v>89102</v>
      </c>
      <c r="F534" t="s">
        <v>115</v>
      </c>
      <c r="G534" t="s">
        <v>68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 t="str">
        <f t="shared" si="8"/>
        <v>900110891022026M07</v>
      </c>
      <c r="B535">
        <v>51321001</v>
      </c>
      <c r="C535">
        <v>8</v>
      </c>
      <c r="D535">
        <v>900110</v>
      </c>
      <c r="E535">
        <v>89102</v>
      </c>
      <c r="F535" t="s">
        <v>115</v>
      </c>
      <c r="G535" t="s">
        <v>69</v>
      </c>
      <c r="H535">
        <v>141468.9</v>
      </c>
      <c r="I535">
        <v>141468.9</v>
      </c>
      <c r="J535">
        <v>0</v>
      </c>
      <c r="K535">
        <v>0</v>
      </c>
      <c r="L535">
        <v>0</v>
      </c>
    </row>
    <row r="536" spans="1:12" x14ac:dyDescent="0.25">
      <c r="A536" t="str">
        <f t="shared" si="8"/>
        <v>900110891022026M08</v>
      </c>
      <c r="B536">
        <v>51321001</v>
      </c>
      <c r="C536">
        <v>8</v>
      </c>
      <c r="D536">
        <v>900110</v>
      </c>
      <c r="E536">
        <v>89102</v>
      </c>
      <c r="F536" t="s">
        <v>115</v>
      </c>
      <c r="G536" t="s">
        <v>70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 x14ac:dyDescent="0.25">
      <c r="A537" t="str">
        <f t="shared" si="8"/>
        <v>900110891022026M09</v>
      </c>
      <c r="B537">
        <v>51321001</v>
      </c>
      <c r="C537">
        <v>8</v>
      </c>
      <c r="D537">
        <v>900110</v>
      </c>
      <c r="E537">
        <v>89102</v>
      </c>
      <c r="F537" t="s">
        <v>115</v>
      </c>
      <c r="G537" t="s">
        <v>71</v>
      </c>
      <c r="H537">
        <v>47156.3</v>
      </c>
      <c r="I537">
        <v>47156.3</v>
      </c>
      <c r="J537">
        <v>0</v>
      </c>
      <c r="K537">
        <v>0</v>
      </c>
      <c r="L537">
        <v>0</v>
      </c>
    </row>
    <row r="538" spans="1:12" x14ac:dyDescent="0.25">
      <c r="A538" t="str">
        <f t="shared" si="8"/>
        <v>900110891022026M10</v>
      </c>
      <c r="B538">
        <v>51321001</v>
      </c>
      <c r="C538">
        <v>8</v>
      </c>
      <c r="D538">
        <v>900110</v>
      </c>
      <c r="E538">
        <v>89102</v>
      </c>
      <c r="F538" t="s">
        <v>115</v>
      </c>
      <c r="G538" t="s">
        <v>72</v>
      </c>
      <c r="H538">
        <v>23585.8</v>
      </c>
      <c r="I538">
        <v>0</v>
      </c>
      <c r="J538">
        <v>23578.240000000002</v>
      </c>
      <c r="K538">
        <v>0</v>
      </c>
      <c r="L538">
        <v>7.56</v>
      </c>
    </row>
    <row r="539" spans="1:12" x14ac:dyDescent="0.25">
      <c r="A539" t="str">
        <f t="shared" si="8"/>
        <v>900110891022026M11</v>
      </c>
      <c r="B539">
        <v>51321001</v>
      </c>
      <c r="C539">
        <v>8</v>
      </c>
      <c r="D539">
        <v>900110</v>
      </c>
      <c r="E539">
        <v>89102</v>
      </c>
      <c r="F539" t="s">
        <v>115</v>
      </c>
      <c r="G539" t="s">
        <v>73</v>
      </c>
      <c r="H539">
        <v>23579</v>
      </c>
      <c r="I539">
        <v>0</v>
      </c>
      <c r="J539">
        <v>23578.16</v>
      </c>
      <c r="K539">
        <v>0</v>
      </c>
      <c r="L539">
        <v>0.84</v>
      </c>
    </row>
    <row r="540" spans="1:12" x14ac:dyDescent="0.25">
      <c r="A540" t="str">
        <f t="shared" si="8"/>
        <v>900110891022026M12</v>
      </c>
      <c r="B540">
        <v>51321001</v>
      </c>
      <c r="C540">
        <v>8</v>
      </c>
      <c r="D540">
        <v>900110</v>
      </c>
      <c r="E540">
        <v>89102</v>
      </c>
      <c r="F540" t="s">
        <v>115</v>
      </c>
      <c r="G540" t="s">
        <v>74</v>
      </c>
      <c r="H540">
        <v>47158</v>
      </c>
      <c r="I540">
        <v>0</v>
      </c>
      <c r="J540">
        <v>47156.32</v>
      </c>
      <c r="K540">
        <v>0</v>
      </c>
      <c r="L540">
        <v>1.68</v>
      </c>
    </row>
    <row r="541" spans="1:12" x14ac:dyDescent="0.25">
      <c r="A541" t="str">
        <f t="shared" si="8"/>
        <v>900110891032026M02</v>
      </c>
      <c r="B541">
        <v>51321001</v>
      </c>
      <c r="C541">
        <v>8</v>
      </c>
      <c r="D541">
        <v>900110</v>
      </c>
      <c r="E541">
        <v>89103</v>
      </c>
      <c r="F541" t="s">
        <v>115</v>
      </c>
      <c r="G541" t="s">
        <v>64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5">
      <c r="A542" t="str">
        <f t="shared" si="8"/>
        <v>900110891032026M03</v>
      </c>
      <c r="B542">
        <v>51321001</v>
      </c>
      <c r="C542">
        <v>8</v>
      </c>
      <c r="D542">
        <v>900110</v>
      </c>
      <c r="E542">
        <v>89103</v>
      </c>
      <c r="F542" t="s">
        <v>115</v>
      </c>
      <c r="G542" t="s">
        <v>65</v>
      </c>
      <c r="H542">
        <v>50689.66</v>
      </c>
      <c r="I542">
        <v>50689.66</v>
      </c>
      <c r="J542">
        <v>0</v>
      </c>
      <c r="K542">
        <v>0</v>
      </c>
      <c r="L542">
        <v>0</v>
      </c>
    </row>
    <row r="543" spans="1:12" x14ac:dyDescent="0.25">
      <c r="A543" t="str">
        <f t="shared" si="8"/>
        <v>900110891032026M04</v>
      </c>
      <c r="B543">
        <v>51321001</v>
      </c>
      <c r="C543">
        <v>8</v>
      </c>
      <c r="D543">
        <v>900110</v>
      </c>
      <c r="E543">
        <v>89103</v>
      </c>
      <c r="F543" t="s">
        <v>115</v>
      </c>
      <c r="G543" t="s">
        <v>66</v>
      </c>
      <c r="H543">
        <v>25344.83</v>
      </c>
      <c r="I543">
        <v>25344.83</v>
      </c>
      <c r="J543">
        <v>0</v>
      </c>
      <c r="K543">
        <v>0</v>
      </c>
      <c r="L543">
        <v>0</v>
      </c>
    </row>
    <row r="544" spans="1:12" x14ac:dyDescent="0.25">
      <c r="A544" t="str">
        <f t="shared" si="8"/>
        <v>900110891032026M05</v>
      </c>
      <c r="B544">
        <v>51321001</v>
      </c>
      <c r="C544">
        <v>8</v>
      </c>
      <c r="D544">
        <v>900110</v>
      </c>
      <c r="E544">
        <v>89103</v>
      </c>
      <c r="F544" t="s">
        <v>115</v>
      </c>
      <c r="G544" t="s">
        <v>67</v>
      </c>
      <c r="H544">
        <v>25344.83</v>
      </c>
      <c r="I544">
        <v>25344.83</v>
      </c>
      <c r="J544">
        <v>0</v>
      </c>
      <c r="K544">
        <v>0</v>
      </c>
      <c r="L544">
        <v>0</v>
      </c>
    </row>
    <row r="545" spans="1:12" x14ac:dyDescent="0.25">
      <c r="A545" t="str">
        <f t="shared" si="8"/>
        <v>900110891032026M06</v>
      </c>
      <c r="B545">
        <v>51321001</v>
      </c>
      <c r="C545">
        <v>8</v>
      </c>
      <c r="D545">
        <v>900110</v>
      </c>
      <c r="E545">
        <v>89103</v>
      </c>
      <c r="F545" t="s">
        <v>115</v>
      </c>
      <c r="G545" t="s">
        <v>68</v>
      </c>
      <c r="H545">
        <v>25344.83</v>
      </c>
      <c r="I545">
        <v>25344.83</v>
      </c>
      <c r="J545">
        <v>0</v>
      </c>
      <c r="K545">
        <v>0</v>
      </c>
      <c r="L545">
        <v>0</v>
      </c>
    </row>
    <row r="546" spans="1:12" x14ac:dyDescent="0.25">
      <c r="A546" t="str">
        <f t="shared" si="8"/>
        <v>900110891032026M07</v>
      </c>
      <c r="B546">
        <v>51321001</v>
      </c>
      <c r="C546">
        <v>8</v>
      </c>
      <c r="D546">
        <v>900110</v>
      </c>
      <c r="E546">
        <v>89103</v>
      </c>
      <c r="F546" t="s">
        <v>115</v>
      </c>
      <c r="G546" t="s">
        <v>69</v>
      </c>
      <c r="H546">
        <v>25344.83</v>
      </c>
      <c r="I546">
        <v>25344.83</v>
      </c>
      <c r="J546">
        <v>0</v>
      </c>
      <c r="K546">
        <v>0</v>
      </c>
      <c r="L546">
        <v>0</v>
      </c>
    </row>
    <row r="547" spans="1:12" x14ac:dyDescent="0.25">
      <c r="A547" t="str">
        <f t="shared" si="8"/>
        <v>900110891032026M08</v>
      </c>
      <c r="B547">
        <v>51321001</v>
      </c>
      <c r="C547">
        <v>8</v>
      </c>
      <c r="D547">
        <v>900110</v>
      </c>
      <c r="E547">
        <v>89103</v>
      </c>
      <c r="F547" t="s">
        <v>115</v>
      </c>
      <c r="G547" t="s">
        <v>70</v>
      </c>
      <c r="H547">
        <v>25344.83</v>
      </c>
      <c r="I547">
        <v>25344.83</v>
      </c>
      <c r="J547">
        <v>0</v>
      </c>
      <c r="K547">
        <v>0</v>
      </c>
      <c r="L547">
        <v>0</v>
      </c>
    </row>
    <row r="548" spans="1:12" x14ac:dyDescent="0.25">
      <c r="A548" t="str">
        <f t="shared" si="8"/>
        <v>900110891032026M09</v>
      </c>
      <c r="B548">
        <v>51321001</v>
      </c>
      <c r="C548">
        <v>8</v>
      </c>
      <c r="D548">
        <v>900110</v>
      </c>
      <c r="E548">
        <v>89103</v>
      </c>
      <c r="F548" t="s">
        <v>115</v>
      </c>
      <c r="G548" t="s">
        <v>71</v>
      </c>
      <c r="H548">
        <v>0</v>
      </c>
      <c r="I548">
        <v>0</v>
      </c>
      <c r="J548">
        <v>0</v>
      </c>
      <c r="K548">
        <v>0</v>
      </c>
      <c r="L548">
        <v>0</v>
      </c>
    </row>
    <row r="549" spans="1:12" x14ac:dyDescent="0.25">
      <c r="A549" t="str">
        <f t="shared" si="8"/>
        <v>900110891032026M10</v>
      </c>
      <c r="B549">
        <v>51321001</v>
      </c>
      <c r="C549">
        <v>8</v>
      </c>
      <c r="D549">
        <v>900110</v>
      </c>
      <c r="E549">
        <v>89103</v>
      </c>
      <c r="F549" t="s">
        <v>115</v>
      </c>
      <c r="G549" t="s">
        <v>72</v>
      </c>
      <c r="H549">
        <v>50691.19</v>
      </c>
      <c r="I549">
        <v>0</v>
      </c>
      <c r="J549">
        <v>50689.75</v>
      </c>
      <c r="K549">
        <v>0</v>
      </c>
      <c r="L549">
        <v>1.44</v>
      </c>
    </row>
    <row r="550" spans="1:12" x14ac:dyDescent="0.25">
      <c r="A550" t="str">
        <f t="shared" si="8"/>
        <v>900110891032026M11</v>
      </c>
      <c r="B550">
        <v>51321001</v>
      </c>
      <c r="C550">
        <v>8</v>
      </c>
      <c r="D550">
        <v>900110</v>
      </c>
      <c r="E550">
        <v>89103</v>
      </c>
      <c r="F550" t="s">
        <v>115</v>
      </c>
      <c r="G550" t="s">
        <v>73</v>
      </c>
      <c r="H550">
        <v>25345</v>
      </c>
      <c r="I550">
        <v>0</v>
      </c>
      <c r="J550">
        <v>25344.84</v>
      </c>
      <c r="K550">
        <v>0</v>
      </c>
      <c r="L550">
        <v>0.16</v>
      </c>
    </row>
    <row r="551" spans="1:12" x14ac:dyDescent="0.25">
      <c r="A551" t="str">
        <f t="shared" si="8"/>
        <v>900110891032026M12</v>
      </c>
      <c r="B551">
        <v>51321001</v>
      </c>
      <c r="C551">
        <v>8</v>
      </c>
      <c r="D551">
        <v>900110</v>
      </c>
      <c r="E551">
        <v>89103</v>
      </c>
      <c r="F551" t="s">
        <v>115</v>
      </c>
      <c r="G551" t="s">
        <v>74</v>
      </c>
      <c r="H551">
        <v>50690</v>
      </c>
      <c r="I551">
        <v>0</v>
      </c>
      <c r="J551">
        <v>50689.68</v>
      </c>
      <c r="K551">
        <v>0</v>
      </c>
      <c r="L551">
        <v>0.32</v>
      </c>
    </row>
    <row r="552" spans="1:12" x14ac:dyDescent="0.25">
      <c r="A552" t="str">
        <f t="shared" si="8"/>
        <v>900110891062026M02</v>
      </c>
      <c r="B552">
        <v>51321001</v>
      </c>
      <c r="C552">
        <v>8</v>
      </c>
      <c r="D552">
        <v>900110</v>
      </c>
      <c r="E552">
        <v>89106</v>
      </c>
      <c r="F552" t="s">
        <v>115</v>
      </c>
      <c r="G552" t="s">
        <v>64</v>
      </c>
      <c r="H552">
        <v>204120</v>
      </c>
      <c r="I552">
        <v>204120</v>
      </c>
      <c r="J552">
        <v>0</v>
      </c>
      <c r="K552">
        <v>0</v>
      </c>
      <c r="L552">
        <v>0</v>
      </c>
    </row>
    <row r="553" spans="1:12" x14ac:dyDescent="0.25">
      <c r="A553" t="str">
        <f t="shared" si="8"/>
        <v>900110891062026M03</v>
      </c>
      <c r="B553">
        <v>51321001</v>
      </c>
      <c r="C553">
        <v>8</v>
      </c>
      <c r="D553">
        <v>900110</v>
      </c>
      <c r="E553">
        <v>89106</v>
      </c>
      <c r="F553" t="s">
        <v>115</v>
      </c>
      <c r="G553" t="s">
        <v>65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 t="str">
        <f t="shared" si="8"/>
        <v>900110891062026M04</v>
      </c>
      <c r="B554">
        <v>51321001</v>
      </c>
      <c r="C554">
        <v>8</v>
      </c>
      <c r="D554">
        <v>900110</v>
      </c>
      <c r="E554">
        <v>89106</v>
      </c>
      <c r="F554" t="s">
        <v>115</v>
      </c>
      <c r="G554" t="s">
        <v>66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 t="str">
        <f t="shared" si="8"/>
        <v>900110891062026M05</v>
      </c>
      <c r="B555">
        <v>51321001</v>
      </c>
      <c r="C555">
        <v>8</v>
      </c>
      <c r="D555">
        <v>900110</v>
      </c>
      <c r="E555">
        <v>89106</v>
      </c>
      <c r="F555" t="s">
        <v>115</v>
      </c>
      <c r="G555" t="s">
        <v>67</v>
      </c>
      <c r="H555">
        <v>204120</v>
      </c>
      <c r="I555">
        <v>204120</v>
      </c>
      <c r="J555">
        <v>0</v>
      </c>
      <c r="K555">
        <v>0</v>
      </c>
      <c r="L555">
        <v>0</v>
      </c>
    </row>
    <row r="556" spans="1:12" x14ac:dyDescent="0.25">
      <c r="A556" t="str">
        <f t="shared" si="8"/>
        <v>900110891062026M06</v>
      </c>
      <c r="B556">
        <v>51321001</v>
      </c>
      <c r="C556">
        <v>8</v>
      </c>
      <c r="D556">
        <v>900110</v>
      </c>
      <c r="E556">
        <v>89106</v>
      </c>
      <c r="F556" t="s">
        <v>115</v>
      </c>
      <c r="G556" t="s">
        <v>68</v>
      </c>
      <c r="H556">
        <v>102060</v>
      </c>
      <c r="I556">
        <v>102060</v>
      </c>
      <c r="J556">
        <v>0</v>
      </c>
      <c r="K556">
        <v>0</v>
      </c>
      <c r="L556">
        <v>0</v>
      </c>
    </row>
    <row r="557" spans="1:12" x14ac:dyDescent="0.25">
      <c r="A557" t="str">
        <f t="shared" si="8"/>
        <v>900110891062026M07</v>
      </c>
      <c r="B557">
        <v>51321001</v>
      </c>
      <c r="C557">
        <v>8</v>
      </c>
      <c r="D557">
        <v>900110</v>
      </c>
      <c r="E557">
        <v>89106</v>
      </c>
      <c r="F557" t="s">
        <v>115</v>
      </c>
      <c r="G557" t="s">
        <v>69</v>
      </c>
      <c r="H557">
        <v>102060</v>
      </c>
      <c r="I557">
        <v>102060</v>
      </c>
      <c r="J557">
        <v>0</v>
      </c>
      <c r="K557">
        <v>0</v>
      </c>
      <c r="L557">
        <v>0</v>
      </c>
    </row>
    <row r="558" spans="1:12" x14ac:dyDescent="0.25">
      <c r="A558" t="str">
        <f t="shared" si="8"/>
        <v>900110891062026M08</v>
      </c>
      <c r="B558">
        <v>51321001</v>
      </c>
      <c r="C558">
        <v>8</v>
      </c>
      <c r="D558">
        <v>900110</v>
      </c>
      <c r="E558">
        <v>89106</v>
      </c>
      <c r="F558" t="s">
        <v>115</v>
      </c>
      <c r="G558" t="s">
        <v>70</v>
      </c>
      <c r="H558">
        <v>204120</v>
      </c>
      <c r="I558">
        <v>204120</v>
      </c>
      <c r="J558">
        <v>0</v>
      </c>
      <c r="K558">
        <v>0</v>
      </c>
      <c r="L558">
        <v>0</v>
      </c>
    </row>
    <row r="559" spans="1:12" x14ac:dyDescent="0.25">
      <c r="A559" t="str">
        <f t="shared" si="8"/>
        <v>900110891062026M09</v>
      </c>
      <c r="B559">
        <v>51321001</v>
      </c>
      <c r="C559">
        <v>8</v>
      </c>
      <c r="D559">
        <v>900110</v>
      </c>
      <c r="E559">
        <v>89106</v>
      </c>
      <c r="F559" t="s">
        <v>115</v>
      </c>
      <c r="G559" t="s">
        <v>71</v>
      </c>
      <c r="H559">
        <v>102060</v>
      </c>
      <c r="I559">
        <v>102060</v>
      </c>
      <c r="J559">
        <v>0</v>
      </c>
      <c r="K559">
        <v>0</v>
      </c>
      <c r="L559">
        <v>0</v>
      </c>
    </row>
    <row r="560" spans="1:12" x14ac:dyDescent="0.25">
      <c r="A560" t="str">
        <f t="shared" si="8"/>
        <v>900110891062026M10</v>
      </c>
      <c r="B560">
        <v>51321001</v>
      </c>
      <c r="C560">
        <v>8</v>
      </c>
      <c r="D560">
        <v>900110</v>
      </c>
      <c r="E560">
        <v>89106</v>
      </c>
      <c r="F560" t="s">
        <v>115</v>
      </c>
      <c r="G560" t="s">
        <v>72</v>
      </c>
      <c r="H560">
        <v>102060</v>
      </c>
      <c r="I560">
        <v>0</v>
      </c>
      <c r="J560">
        <v>102060</v>
      </c>
      <c r="K560">
        <v>0</v>
      </c>
      <c r="L560">
        <v>0</v>
      </c>
    </row>
    <row r="561" spans="1:12" x14ac:dyDescent="0.25">
      <c r="A561" t="str">
        <f t="shared" si="8"/>
        <v>900110891062026M11</v>
      </c>
      <c r="B561">
        <v>51321001</v>
      </c>
      <c r="C561">
        <v>8</v>
      </c>
      <c r="D561">
        <v>900110</v>
      </c>
      <c r="E561">
        <v>89106</v>
      </c>
      <c r="F561" t="s">
        <v>115</v>
      </c>
      <c r="G561" t="s">
        <v>73</v>
      </c>
      <c r="H561">
        <v>102060</v>
      </c>
      <c r="I561">
        <v>0</v>
      </c>
      <c r="J561">
        <v>102060</v>
      </c>
      <c r="K561">
        <v>0</v>
      </c>
      <c r="L561">
        <v>0</v>
      </c>
    </row>
    <row r="562" spans="1:12" x14ac:dyDescent="0.25">
      <c r="A562" t="str">
        <f t="shared" si="8"/>
        <v>900110891062026M12</v>
      </c>
      <c r="B562">
        <v>51321001</v>
      </c>
      <c r="C562">
        <v>8</v>
      </c>
      <c r="D562">
        <v>900110</v>
      </c>
      <c r="E562">
        <v>89106</v>
      </c>
      <c r="F562" t="s">
        <v>115</v>
      </c>
      <c r="G562" t="s">
        <v>74</v>
      </c>
      <c r="H562">
        <v>102060</v>
      </c>
      <c r="I562">
        <v>0</v>
      </c>
      <c r="J562">
        <v>102060</v>
      </c>
      <c r="K562">
        <v>0</v>
      </c>
      <c r="L562">
        <v>0</v>
      </c>
    </row>
    <row r="563" spans="1:12" x14ac:dyDescent="0.25">
      <c r="A563" t="str">
        <f t="shared" si="8"/>
        <v>900110891072026M02</v>
      </c>
      <c r="B563">
        <v>51321001</v>
      </c>
      <c r="C563">
        <v>8</v>
      </c>
      <c r="D563">
        <v>900110</v>
      </c>
      <c r="E563">
        <v>89107</v>
      </c>
      <c r="F563" t="s">
        <v>115</v>
      </c>
      <c r="G563" t="s">
        <v>64</v>
      </c>
      <c r="H563">
        <v>0</v>
      </c>
      <c r="I563">
        <v>0</v>
      </c>
      <c r="J563">
        <v>0</v>
      </c>
      <c r="K563">
        <v>0</v>
      </c>
      <c r="L563">
        <v>0</v>
      </c>
    </row>
    <row r="564" spans="1:12" x14ac:dyDescent="0.25">
      <c r="A564" t="str">
        <f t="shared" si="8"/>
        <v>900110891072026M03</v>
      </c>
      <c r="B564">
        <v>51321001</v>
      </c>
      <c r="C564">
        <v>8</v>
      </c>
      <c r="D564">
        <v>900110</v>
      </c>
      <c r="E564">
        <v>89107</v>
      </c>
      <c r="F564" t="s">
        <v>115</v>
      </c>
      <c r="G564" t="s">
        <v>65</v>
      </c>
      <c r="H564">
        <v>78265.2</v>
      </c>
      <c r="I564">
        <v>78265.2</v>
      </c>
      <c r="J564">
        <v>0</v>
      </c>
      <c r="K564">
        <v>0</v>
      </c>
      <c r="L564">
        <v>0</v>
      </c>
    </row>
    <row r="565" spans="1:12" x14ac:dyDescent="0.25">
      <c r="A565" t="str">
        <f t="shared" si="8"/>
        <v>900110891072026M04</v>
      </c>
      <c r="B565">
        <v>51321001</v>
      </c>
      <c r="C565">
        <v>8</v>
      </c>
      <c r="D565">
        <v>900110</v>
      </c>
      <c r="E565">
        <v>89107</v>
      </c>
      <c r="F565" t="s">
        <v>115</v>
      </c>
      <c r="G565" t="s">
        <v>66</v>
      </c>
      <c r="H565">
        <v>39132.6</v>
      </c>
      <c r="I565">
        <v>39132.6</v>
      </c>
      <c r="J565">
        <v>0</v>
      </c>
      <c r="K565">
        <v>0</v>
      </c>
      <c r="L565">
        <v>0</v>
      </c>
    </row>
    <row r="566" spans="1:12" x14ac:dyDescent="0.25">
      <c r="A566" t="str">
        <f t="shared" si="8"/>
        <v>900110891072026M05</v>
      </c>
      <c r="B566">
        <v>51321001</v>
      </c>
      <c r="C566">
        <v>8</v>
      </c>
      <c r="D566">
        <v>900110</v>
      </c>
      <c r="E566">
        <v>89107</v>
      </c>
      <c r="F566" t="s">
        <v>115</v>
      </c>
      <c r="G566" t="s">
        <v>67</v>
      </c>
      <c r="H566">
        <v>39132.6</v>
      </c>
      <c r="I566">
        <v>39132.6</v>
      </c>
      <c r="J566">
        <v>0</v>
      </c>
      <c r="K566">
        <v>0</v>
      </c>
      <c r="L566">
        <v>0</v>
      </c>
    </row>
    <row r="567" spans="1:12" x14ac:dyDescent="0.25">
      <c r="A567" t="str">
        <f t="shared" si="8"/>
        <v>900110891072026M06</v>
      </c>
      <c r="B567">
        <v>51321001</v>
      </c>
      <c r="C567">
        <v>8</v>
      </c>
      <c r="D567">
        <v>900110</v>
      </c>
      <c r="E567">
        <v>89107</v>
      </c>
      <c r="F567" t="s">
        <v>115</v>
      </c>
      <c r="G567" t="s">
        <v>68</v>
      </c>
      <c r="H567">
        <v>39132.6</v>
      </c>
      <c r="I567">
        <v>39132.6</v>
      </c>
      <c r="J567">
        <v>0</v>
      </c>
      <c r="K567">
        <v>0</v>
      </c>
      <c r="L567">
        <v>0</v>
      </c>
    </row>
    <row r="568" spans="1:12" x14ac:dyDescent="0.25">
      <c r="A568" t="str">
        <f t="shared" si="8"/>
        <v>900110891072026M07</v>
      </c>
      <c r="B568">
        <v>51321001</v>
      </c>
      <c r="C568">
        <v>8</v>
      </c>
      <c r="D568">
        <v>900110</v>
      </c>
      <c r="E568">
        <v>89107</v>
      </c>
      <c r="F568" t="s">
        <v>115</v>
      </c>
      <c r="G568" t="s">
        <v>69</v>
      </c>
      <c r="H568">
        <v>39132.6</v>
      </c>
      <c r="I568">
        <v>39132.6</v>
      </c>
      <c r="J568">
        <v>0</v>
      </c>
      <c r="K568">
        <v>0</v>
      </c>
      <c r="L568">
        <v>0</v>
      </c>
    </row>
    <row r="569" spans="1:12" x14ac:dyDescent="0.25">
      <c r="A569" t="str">
        <f t="shared" si="8"/>
        <v>900110891072026M08</v>
      </c>
      <c r="B569">
        <v>51321001</v>
      </c>
      <c r="C569">
        <v>8</v>
      </c>
      <c r="D569">
        <v>900110</v>
      </c>
      <c r="E569">
        <v>89107</v>
      </c>
      <c r="F569" t="s">
        <v>115</v>
      </c>
      <c r="G569" t="s">
        <v>70</v>
      </c>
      <c r="H569">
        <v>39132.6</v>
      </c>
      <c r="I569">
        <v>39132.6</v>
      </c>
      <c r="J569">
        <v>0</v>
      </c>
      <c r="K569">
        <v>0</v>
      </c>
      <c r="L569">
        <v>0</v>
      </c>
    </row>
    <row r="570" spans="1:12" x14ac:dyDescent="0.25">
      <c r="A570" t="str">
        <f t="shared" si="8"/>
        <v>900110891072026M09</v>
      </c>
      <c r="B570">
        <v>51321001</v>
      </c>
      <c r="C570">
        <v>8</v>
      </c>
      <c r="D570">
        <v>900110</v>
      </c>
      <c r="E570">
        <v>89107</v>
      </c>
      <c r="F570" t="s">
        <v>115</v>
      </c>
      <c r="G570" t="s">
        <v>71</v>
      </c>
      <c r="H570">
        <v>39132.6</v>
      </c>
      <c r="I570">
        <v>39132.6</v>
      </c>
      <c r="J570">
        <v>0</v>
      </c>
      <c r="K570">
        <v>0</v>
      </c>
      <c r="L570">
        <v>0</v>
      </c>
    </row>
    <row r="571" spans="1:12" x14ac:dyDescent="0.25">
      <c r="A571" t="str">
        <f t="shared" si="8"/>
        <v>900110891072026M10</v>
      </c>
      <c r="B571">
        <v>51321001</v>
      </c>
      <c r="C571">
        <v>8</v>
      </c>
      <c r="D571">
        <v>900110</v>
      </c>
      <c r="E571">
        <v>89107</v>
      </c>
      <c r="F571" t="s">
        <v>115</v>
      </c>
      <c r="G571" t="s">
        <v>72</v>
      </c>
      <c r="H571">
        <v>39136.199999999997</v>
      </c>
      <c r="I571">
        <v>39132.6</v>
      </c>
      <c r="J571">
        <v>0</v>
      </c>
      <c r="K571">
        <v>0</v>
      </c>
      <c r="L571">
        <v>3.6</v>
      </c>
    </row>
    <row r="572" spans="1:12" x14ac:dyDescent="0.25">
      <c r="A572" t="str">
        <f t="shared" si="8"/>
        <v>900110891072026M11</v>
      </c>
      <c r="B572">
        <v>51321001</v>
      </c>
      <c r="C572">
        <v>8</v>
      </c>
      <c r="D572">
        <v>900110</v>
      </c>
      <c r="E572">
        <v>89107</v>
      </c>
      <c r="F572" t="s">
        <v>115</v>
      </c>
      <c r="G572" t="s">
        <v>73</v>
      </c>
      <c r="H572">
        <v>39133</v>
      </c>
      <c r="I572">
        <v>0</v>
      </c>
      <c r="J572">
        <v>39132.6</v>
      </c>
      <c r="K572">
        <v>0</v>
      </c>
      <c r="L572">
        <v>0.4</v>
      </c>
    </row>
    <row r="573" spans="1:12" x14ac:dyDescent="0.25">
      <c r="A573" t="str">
        <f t="shared" si="8"/>
        <v>900110891072026M12</v>
      </c>
      <c r="B573">
        <v>51321001</v>
      </c>
      <c r="C573">
        <v>8</v>
      </c>
      <c r="D573">
        <v>900110</v>
      </c>
      <c r="E573">
        <v>89107</v>
      </c>
      <c r="F573" t="s">
        <v>115</v>
      </c>
      <c r="G573" t="s">
        <v>74</v>
      </c>
      <c r="H573">
        <v>78266</v>
      </c>
      <c r="I573">
        <v>0</v>
      </c>
      <c r="J573">
        <v>78265.2</v>
      </c>
      <c r="K573">
        <v>0</v>
      </c>
      <c r="L573">
        <v>0.8</v>
      </c>
    </row>
    <row r="574" spans="1:12" x14ac:dyDescent="0.25">
      <c r="A574" t="str">
        <f t="shared" si="8"/>
        <v>920110891052026M02</v>
      </c>
      <c r="B574">
        <v>51321001</v>
      </c>
      <c r="C574">
        <v>8</v>
      </c>
      <c r="D574">
        <v>920110</v>
      </c>
      <c r="E574">
        <v>89105</v>
      </c>
      <c r="F574" t="s">
        <v>115</v>
      </c>
      <c r="G574" t="s">
        <v>64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 x14ac:dyDescent="0.25">
      <c r="A575" t="str">
        <f t="shared" si="8"/>
        <v>920110891052026M03</v>
      </c>
      <c r="B575">
        <v>51321001</v>
      </c>
      <c r="C575">
        <v>8</v>
      </c>
      <c r="D575">
        <v>920110</v>
      </c>
      <c r="E575">
        <v>89105</v>
      </c>
      <c r="F575" t="s">
        <v>115</v>
      </c>
      <c r="G575" t="s">
        <v>65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 x14ac:dyDescent="0.25">
      <c r="A576" t="str">
        <f t="shared" si="8"/>
        <v>920110891052026M04</v>
      </c>
      <c r="B576">
        <v>51321001</v>
      </c>
      <c r="C576">
        <v>8</v>
      </c>
      <c r="D576">
        <v>920110</v>
      </c>
      <c r="E576">
        <v>89105</v>
      </c>
      <c r="F576" t="s">
        <v>115</v>
      </c>
      <c r="G576" t="s">
        <v>66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25">
      <c r="A577" t="str">
        <f t="shared" si="8"/>
        <v>920110891052026M05</v>
      </c>
      <c r="B577">
        <v>51321001</v>
      </c>
      <c r="C577">
        <v>8</v>
      </c>
      <c r="D577">
        <v>920110</v>
      </c>
      <c r="E577">
        <v>89105</v>
      </c>
      <c r="F577" t="s">
        <v>115</v>
      </c>
      <c r="G577" t="s">
        <v>67</v>
      </c>
      <c r="H577">
        <v>123818.76</v>
      </c>
      <c r="I577">
        <v>123818.76</v>
      </c>
      <c r="J577">
        <v>0</v>
      </c>
      <c r="K577">
        <v>0</v>
      </c>
      <c r="L577">
        <v>0</v>
      </c>
    </row>
    <row r="578" spans="1:12" x14ac:dyDescent="0.25">
      <c r="A578" t="str">
        <f t="shared" si="8"/>
        <v>920110891052026M06</v>
      </c>
      <c r="B578">
        <v>51321001</v>
      </c>
      <c r="C578">
        <v>8</v>
      </c>
      <c r="D578">
        <v>920110</v>
      </c>
      <c r="E578">
        <v>89105</v>
      </c>
      <c r="F578" t="s">
        <v>115</v>
      </c>
      <c r="G578" t="s">
        <v>68</v>
      </c>
      <c r="H578">
        <v>30954.69</v>
      </c>
      <c r="I578">
        <v>30954.69</v>
      </c>
      <c r="J578">
        <v>0</v>
      </c>
      <c r="K578">
        <v>0</v>
      </c>
      <c r="L578">
        <v>0</v>
      </c>
    </row>
    <row r="579" spans="1:12" x14ac:dyDescent="0.25">
      <c r="A579" t="str">
        <f t="shared" si="8"/>
        <v>920110891052026M07</v>
      </c>
      <c r="B579">
        <v>51321001</v>
      </c>
      <c r="C579">
        <v>8</v>
      </c>
      <c r="D579">
        <v>920110</v>
      </c>
      <c r="E579">
        <v>89105</v>
      </c>
      <c r="F579" t="s">
        <v>115</v>
      </c>
      <c r="G579" t="s">
        <v>69</v>
      </c>
      <c r="H579">
        <v>30954.69</v>
      </c>
      <c r="I579">
        <v>30954.69</v>
      </c>
      <c r="J579">
        <v>0</v>
      </c>
      <c r="K579">
        <v>0</v>
      </c>
      <c r="L579">
        <v>0</v>
      </c>
    </row>
    <row r="580" spans="1:12" x14ac:dyDescent="0.25">
      <c r="A580" t="str">
        <f t="shared" si="8"/>
        <v>920110891052026M08</v>
      </c>
      <c r="B580">
        <v>51321001</v>
      </c>
      <c r="C580">
        <v>8</v>
      </c>
      <c r="D580">
        <v>920110</v>
      </c>
      <c r="E580">
        <v>89105</v>
      </c>
      <c r="F580" t="s">
        <v>115</v>
      </c>
      <c r="G580" t="s">
        <v>70</v>
      </c>
      <c r="H580">
        <v>30954.69</v>
      </c>
      <c r="I580">
        <v>30954.69</v>
      </c>
      <c r="J580">
        <v>0</v>
      </c>
      <c r="K580">
        <v>0</v>
      </c>
      <c r="L580">
        <v>0</v>
      </c>
    </row>
    <row r="581" spans="1:12" x14ac:dyDescent="0.25">
      <c r="A581" t="str">
        <f t="shared" si="8"/>
        <v>920110891052026M09</v>
      </c>
      <c r="B581">
        <v>51321001</v>
      </c>
      <c r="C581">
        <v>8</v>
      </c>
      <c r="D581">
        <v>920110</v>
      </c>
      <c r="E581">
        <v>89105</v>
      </c>
      <c r="F581" t="s">
        <v>115</v>
      </c>
      <c r="G581" t="s">
        <v>71</v>
      </c>
      <c r="H581">
        <v>30954.69</v>
      </c>
      <c r="I581">
        <v>30954.69</v>
      </c>
      <c r="J581">
        <v>0</v>
      </c>
      <c r="K581">
        <v>0</v>
      </c>
      <c r="L581">
        <v>0</v>
      </c>
    </row>
    <row r="582" spans="1:12" x14ac:dyDescent="0.25">
      <c r="A582" t="str">
        <f t="shared" si="8"/>
        <v>920110891052026M10</v>
      </c>
      <c r="B582">
        <v>51321001</v>
      </c>
      <c r="C582">
        <v>8</v>
      </c>
      <c r="D582">
        <v>920110</v>
      </c>
      <c r="E582">
        <v>89105</v>
      </c>
      <c r="F582" t="s">
        <v>115</v>
      </c>
      <c r="G582" t="s">
        <v>72</v>
      </c>
      <c r="H582">
        <v>30966.48</v>
      </c>
      <c r="I582">
        <v>30954.69</v>
      </c>
      <c r="J582">
        <v>9.6300000000000008</v>
      </c>
      <c r="K582">
        <v>0</v>
      </c>
      <c r="L582">
        <v>2.16</v>
      </c>
    </row>
    <row r="583" spans="1:12" x14ac:dyDescent="0.25">
      <c r="A583" t="str">
        <f t="shared" si="8"/>
        <v>920110891052026M11</v>
      </c>
      <c r="B583">
        <v>51321001</v>
      </c>
      <c r="C583">
        <v>8</v>
      </c>
      <c r="D583">
        <v>920110</v>
      </c>
      <c r="E583">
        <v>89105</v>
      </c>
      <c r="F583" t="s">
        <v>115</v>
      </c>
      <c r="G583" t="s">
        <v>73</v>
      </c>
      <c r="H583">
        <v>30956</v>
      </c>
      <c r="I583">
        <v>0</v>
      </c>
      <c r="J583">
        <v>30955.759999999998</v>
      </c>
      <c r="K583">
        <v>0</v>
      </c>
      <c r="L583">
        <v>0.24</v>
      </c>
    </row>
    <row r="584" spans="1:12" x14ac:dyDescent="0.25">
      <c r="A584" t="str">
        <f t="shared" si="8"/>
        <v>920110891052026M12</v>
      </c>
      <c r="B584">
        <v>51321001</v>
      </c>
      <c r="C584">
        <v>8</v>
      </c>
      <c r="D584">
        <v>920110</v>
      </c>
      <c r="E584">
        <v>89105</v>
      </c>
      <c r="F584" t="s">
        <v>115</v>
      </c>
      <c r="G584" t="s">
        <v>74</v>
      </c>
      <c r="H584">
        <v>61912</v>
      </c>
      <c r="I584">
        <v>0</v>
      </c>
      <c r="J584">
        <v>61911.519999999997</v>
      </c>
      <c r="K584">
        <v>0</v>
      </c>
      <c r="L584">
        <v>0.48</v>
      </c>
    </row>
    <row r="585" spans="1:12" x14ac:dyDescent="0.25">
      <c r="A585" t="str">
        <f t="shared" si="8"/>
        <v>920201880022026M02</v>
      </c>
      <c r="B585">
        <v>51321001</v>
      </c>
      <c r="C585">
        <v>8</v>
      </c>
      <c r="D585">
        <v>920201</v>
      </c>
      <c r="E585">
        <v>88002</v>
      </c>
      <c r="F585" t="s">
        <v>115</v>
      </c>
      <c r="G585" t="s">
        <v>64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5">
      <c r="A586" t="str">
        <f t="shared" si="8"/>
        <v>920201880022026M03</v>
      </c>
      <c r="B586">
        <v>51321001</v>
      </c>
      <c r="C586">
        <v>8</v>
      </c>
      <c r="D586">
        <v>920201</v>
      </c>
      <c r="E586">
        <v>88002</v>
      </c>
      <c r="F586" t="s">
        <v>115</v>
      </c>
      <c r="G586" t="s">
        <v>65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25">
      <c r="A587" t="str">
        <f t="shared" ref="A587:A650" si="9">D587&amp;E587&amp;G587</f>
        <v>920201880022026M04</v>
      </c>
      <c r="B587">
        <v>51321001</v>
      </c>
      <c r="C587">
        <v>8</v>
      </c>
      <c r="D587">
        <v>920201</v>
      </c>
      <c r="E587">
        <v>88002</v>
      </c>
      <c r="F587" t="s">
        <v>115</v>
      </c>
      <c r="G587" t="s">
        <v>66</v>
      </c>
      <c r="H587">
        <v>72743.97</v>
      </c>
      <c r="I587">
        <v>72743.97</v>
      </c>
      <c r="J587">
        <v>0</v>
      </c>
      <c r="K587">
        <v>0</v>
      </c>
      <c r="L587">
        <v>0</v>
      </c>
    </row>
    <row r="588" spans="1:12" x14ac:dyDescent="0.25">
      <c r="A588" t="str">
        <f t="shared" si="9"/>
        <v>920201880022026M05</v>
      </c>
      <c r="B588">
        <v>51321001</v>
      </c>
      <c r="C588">
        <v>8</v>
      </c>
      <c r="D588">
        <v>920201</v>
      </c>
      <c r="E588">
        <v>88002</v>
      </c>
      <c r="F588" t="s">
        <v>115</v>
      </c>
      <c r="G588" t="s">
        <v>67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x14ac:dyDescent="0.25">
      <c r="A589" t="str">
        <f t="shared" si="9"/>
        <v>920201880022026M06</v>
      </c>
      <c r="B589">
        <v>51321001</v>
      </c>
      <c r="C589">
        <v>8</v>
      </c>
      <c r="D589">
        <v>920201</v>
      </c>
      <c r="E589">
        <v>88002</v>
      </c>
      <c r="F589" t="s">
        <v>115</v>
      </c>
      <c r="G589" t="s">
        <v>68</v>
      </c>
      <c r="H589">
        <v>48495.98</v>
      </c>
      <c r="I589">
        <v>48495.98</v>
      </c>
      <c r="J589">
        <v>0</v>
      </c>
      <c r="K589">
        <v>0</v>
      </c>
      <c r="L589">
        <v>0</v>
      </c>
    </row>
    <row r="590" spans="1:12" x14ac:dyDescent="0.25">
      <c r="A590" t="str">
        <f t="shared" si="9"/>
        <v>920201880022026M07</v>
      </c>
      <c r="B590">
        <v>51321001</v>
      </c>
      <c r="C590">
        <v>8</v>
      </c>
      <c r="D590">
        <v>920201</v>
      </c>
      <c r="E590">
        <v>88002</v>
      </c>
      <c r="F590" t="s">
        <v>115</v>
      </c>
      <c r="G590" t="s">
        <v>69</v>
      </c>
      <c r="H590">
        <v>24247.99</v>
      </c>
      <c r="I590">
        <v>24247.99</v>
      </c>
      <c r="J590">
        <v>0</v>
      </c>
      <c r="K590">
        <v>0</v>
      </c>
      <c r="L590">
        <v>0</v>
      </c>
    </row>
    <row r="591" spans="1:12" x14ac:dyDescent="0.25">
      <c r="A591" t="str">
        <f t="shared" si="9"/>
        <v>920201880022026M08</v>
      </c>
      <c r="B591">
        <v>51321001</v>
      </c>
      <c r="C591">
        <v>8</v>
      </c>
      <c r="D591">
        <v>920201</v>
      </c>
      <c r="E591">
        <v>88002</v>
      </c>
      <c r="F591" t="s">
        <v>115</v>
      </c>
      <c r="G591" t="s">
        <v>70</v>
      </c>
      <c r="H591">
        <v>24247.99</v>
      </c>
      <c r="I591">
        <v>24247.99</v>
      </c>
      <c r="J591">
        <v>0</v>
      </c>
      <c r="K591">
        <v>0</v>
      </c>
      <c r="L591">
        <v>0</v>
      </c>
    </row>
    <row r="592" spans="1:12" x14ac:dyDescent="0.25">
      <c r="A592" t="str">
        <f t="shared" si="9"/>
        <v>920201880022026M09</v>
      </c>
      <c r="B592">
        <v>51321001</v>
      </c>
      <c r="C592">
        <v>8</v>
      </c>
      <c r="D592">
        <v>920201</v>
      </c>
      <c r="E592">
        <v>88002</v>
      </c>
      <c r="F592" t="s">
        <v>115</v>
      </c>
      <c r="G592" t="s">
        <v>71</v>
      </c>
      <c r="H592">
        <v>24247.99</v>
      </c>
      <c r="I592">
        <v>24247.99</v>
      </c>
      <c r="J592">
        <v>0</v>
      </c>
      <c r="K592">
        <v>0</v>
      </c>
      <c r="L592">
        <v>0</v>
      </c>
    </row>
    <row r="593" spans="1:12" x14ac:dyDescent="0.25">
      <c r="A593" t="str">
        <f t="shared" si="9"/>
        <v>920201880022026M10</v>
      </c>
      <c r="B593">
        <v>51321001</v>
      </c>
      <c r="C593">
        <v>8</v>
      </c>
      <c r="D593">
        <v>920201</v>
      </c>
      <c r="E593">
        <v>88002</v>
      </c>
      <c r="F593" t="s">
        <v>115</v>
      </c>
      <c r="G593" t="s">
        <v>72</v>
      </c>
      <c r="H593">
        <v>59168.08</v>
      </c>
      <c r="I593">
        <v>0</v>
      </c>
      <c r="J593">
        <v>59165.2</v>
      </c>
      <c r="K593">
        <v>0</v>
      </c>
      <c r="L593">
        <v>2.88</v>
      </c>
    </row>
    <row r="594" spans="1:12" x14ac:dyDescent="0.25">
      <c r="A594" t="str">
        <f t="shared" si="9"/>
        <v>920201880022026M11</v>
      </c>
      <c r="B594">
        <v>51321001</v>
      </c>
      <c r="C594">
        <v>8</v>
      </c>
      <c r="D594">
        <v>920201</v>
      </c>
      <c r="E594">
        <v>88002</v>
      </c>
      <c r="F594" t="s">
        <v>115</v>
      </c>
      <c r="G594" t="s">
        <v>73</v>
      </c>
      <c r="H594">
        <v>28128</v>
      </c>
      <c r="I594">
        <v>0</v>
      </c>
      <c r="J594">
        <v>28127.68</v>
      </c>
      <c r="K594">
        <v>0</v>
      </c>
      <c r="L594">
        <v>0.32</v>
      </c>
    </row>
    <row r="595" spans="1:12" x14ac:dyDescent="0.25">
      <c r="A595" t="str">
        <f t="shared" si="9"/>
        <v>920201880022026M12</v>
      </c>
      <c r="B595">
        <v>51321001</v>
      </c>
      <c r="C595">
        <v>8</v>
      </c>
      <c r="D595">
        <v>920201</v>
      </c>
      <c r="E595">
        <v>88002</v>
      </c>
      <c r="F595" t="s">
        <v>115</v>
      </c>
      <c r="G595" t="s">
        <v>74</v>
      </c>
      <c r="H595">
        <v>56256</v>
      </c>
      <c r="I595">
        <v>0</v>
      </c>
      <c r="J595">
        <v>56255.360000000001</v>
      </c>
      <c r="K595">
        <v>0</v>
      </c>
      <c r="L595">
        <v>0.64</v>
      </c>
    </row>
    <row r="596" spans="1:12" x14ac:dyDescent="0.25">
      <c r="A596" t="str">
        <f t="shared" si="9"/>
        <v>7000009P9012026M01</v>
      </c>
      <c r="B596">
        <v>51321001</v>
      </c>
      <c r="C596">
        <v>9</v>
      </c>
      <c r="D596">
        <v>70000</v>
      </c>
      <c r="E596" t="s">
        <v>79</v>
      </c>
      <c r="F596" t="s">
        <v>115</v>
      </c>
      <c r="G596" t="s">
        <v>104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 x14ac:dyDescent="0.25">
      <c r="A597" t="str">
        <f t="shared" si="9"/>
        <v>7000009P9012026M02</v>
      </c>
      <c r="B597">
        <v>51321001</v>
      </c>
      <c r="C597">
        <v>9</v>
      </c>
      <c r="D597">
        <v>70000</v>
      </c>
      <c r="E597" t="s">
        <v>79</v>
      </c>
      <c r="F597" t="s">
        <v>115</v>
      </c>
      <c r="G597" t="s">
        <v>64</v>
      </c>
      <c r="H597">
        <v>1133811.24</v>
      </c>
      <c r="I597">
        <v>1133811.24</v>
      </c>
      <c r="J597">
        <v>0</v>
      </c>
      <c r="K597">
        <v>0</v>
      </c>
      <c r="L597">
        <v>0</v>
      </c>
    </row>
    <row r="598" spans="1:12" x14ac:dyDescent="0.25">
      <c r="A598" t="str">
        <f t="shared" si="9"/>
        <v>7000009P9012026M03</v>
      </c>
      <c r="B598">
        <v>51321001</v>
      </c>
      <c r="C598">
        <v>9</v>
      </c>
      <c r="D598">
        <v>70000</v>
      </c>
      <c r="E598" t="s">
        <v>79</v>
      </c>
      <c r="F598" t="s">
        <v>115</v>
      </c>
      <c r="G598" t="s">
        <v>65</v>
      </c>
      <c r="H598">
        <v>1133811.24</v>
      </c>
      <c r="I598">
        <v>1133811.24</v>
      </c>
      <c r="J598">
        <v>0</v>
      </c>
      <c r="K598">
        <v>0</v>
      </c>
      <c r="L598">
        <v>0</v>
      </c>
    </row>
    <row r="599" spans="1:12" x14ac:dyDescent="0.25">
      <c r="A599" t="str">
        <f t="shared" si="9"/>
        <v>7000009P9012026M04</v>
      </c>
      <c r="B599">
        <v>51321001</v>
      </c>
      <c r="C599">
        <v>9</v>
      </c>
      <c r="D599">
        <v>70000</v>
      </c>
      <c r="E599" t="s">
        <v>79</v>
      </c>
      <c r="F599" t="s">
        <v>115</v>
      </c>
      <c r="G599" t="s">
        <v>66</v>
      </c>
      <c r="H599">
        <v>1133811.24</v>
      </c>
      <c r="I599">
        <v>1133811.24</v>
      </c>
      <c r="J599">
        <v>0</v>
      </c>
      <c r="K599">
        <v>0</v>
      </c>
      <c r="L599">
        <v>0</v>
      </c>
    </row>
    <row r="600" spans="1:12" x14ac:dyDescent="0.25">
      <c r="A600" t="str">
        <f t="shared" si="9"/>
        <v>7000009P9012026M05</v>
      </c>
      <c r="B600">
        <v>51321001</v>
      </c>
      <c r="C600">
        <v>9</v>
      </c>
      <c r="D600">
        <v>70000</v>
      </c>
      <c r="E600" t="s">
        <v>79</v>
      </c>
      <c r="F600" t="s">
        <v>115</v>
      </c>
      <c r="G600" t="s">
        <v>67</v>
      </c>
      <c r="H600">
        <v>1133811.24</v>
      </c>
      <c r="I600">
        <v>1133811.24</v>
      </c>
      <c r="J600">
        <v>0</v>
      </c>
      <c r="K600">
        <v>0</v>
      </c>
      <c r="L600">
        <v>0</v>
      </c>
    </row>
    <row r="601" spans="1:12" x14ac:dyDescent="0.25">
      <c r="A601" t="str">
        <f t="shared" si="9"/>
        <v>7000009P9012026M06</v>
      </c>
      <c r="B601">
        <v>51321001</v>
      </c>
      <c r="C601">
        <v>9</v>
      </c>
      <c r="D601">
        <v>70000</v>
      </c>
      <c r="E601" t="s">
        <v>79</v>
      </c>
      <c r="F601" t="s">
        <v>115</v>
      </c>
      <c r="G601" t="s">
        <v>68</v>
      </c>
      <c r="H601">
        <v>1133811.24</v>
      </c>
      <c r="I601">
        <v>1133811.24</v>
      </c>
      <c r="J601">
        <v>0</v>
      </c>
      <c r="K601">
        <v>0</v>
      </c>
      <c r="L601">
        <v>0</v>
      </c>
    </row>
    <row r="602" spans="1:12" x14ac:dyDescent="0.25">
      <c r="A602" t="str">
        <f t="shared" si="9"/>
        <v>7000009P9012026M07</v>
      </c>
      <c r="B602">
        <v>51321001</v>
      </c>
      <c r="C602">
        <v>9</v>
      </c>
      <c r="D602">
        <v>70000</v>
      </c>
      <c r="E602" t="s">
        <v>79</v>
      </c>
      <c r="F602" t="s">
        <v>115</v>
      </c>
      <c r="G602" t="s">
        <v>69</v>
      </c>
      <c r="H602">
        <v>1133811.24</v>
      </c>
      <c r="I602">
        <v>1133811.24</v>
      </c>
      <c r="J602">
        <v>0</v>
      </c>
      <c r="K602">
        <v>0</v>
      </c>
      <c r="L602">
        <v>0</v>
      </c>
    </row>
    <row r="603" spans="1:12" x14ac:dyDescent="0.25">
      <c r="A603" t="str">
        <f t="shared" si="9"/>
        <v>7000009P9012026M08</v>
      </c>
      <c r="B603">
        <v>51321001</v>
      </c>
      <c r="C603">
        <v>9</v>
      </c>
      <c r="D603">
        <v>70000</v>
      </c>
      <c r="E603" t="s">
        <v>79</v>
      </c>
      <c r="F603" t="s">
        <v>115</v>
      </c>
      <c r="G603" t="s">
        <v>70</v>
      </c>
      <c r="H603">
        <v>1133811.24</v>
      </c>
      <c r="I603">
        <v>1133811.24</v>
      </c>
      <c r="J603">
        <v>0</v>
      </c>
      <c r="K603">
        <v>0</v>
      </c>
      <c r="L603">
        <v>0</v>
      </c>
    </row>
    <row r="604" spans="1:12" x14ac:dyDescent="0.25">
      <c r="A604" t="str">
        <f t="shared" si="9"/>
        <v>7000009P9012026M09</v>
      </c>
      <c r="B604">
        <v>51321001</v>
      </c>
      <c r="C604">
        <v>9</v>
      </c>
      <c r="D604">
        <v>70000</v>
      </c>
      <c r="E604" t="s">
        <v>79</v>
      </c>
      <c r="F604" t="s">
        <v>115</v>
      </c>
      <c r="G604" t="s">
        <v>71</v>
      </c>
      <c r="H604">
        <v>1133811.24</v>
      </c>
      <c r="I604">
        <v>1133811.24</v>
      </c>
      <c r="J604">
        <v>0</v>
      </c>
      <c r="K604">
        <v>0</v>
      </c>
      <c r="L604">
        <v>0</v>
      </c>
    </row>
    <row r="605" spans="1:12" x14ac:dyDescent="0.25">
      <c r="A605" t="str">
        <f t="shared" si="9"/>
        <v>7000009P9012026M10</v>
      </c>
      <c r="B605">
        <v>51321001</v>
      </c>
      <c r="C605">
        <v>9</v>
      </c>
      <c r="D605">
        <v>70000</v>
      </c>
      <c r="E605" t="s">
        <v>79</v>
      </c>
      <c r="F605" t="s">
        <v>115</v>
      </c>
      <c r="G605" t="s">
        <v>72</v>
      </c>
      <c r="H605">
        <v>14696428.08</v>
      </c>
      <c r="I605">
        <v>1133811.24</v>
      </c>
      <c r="J605">
        <v>3401433.68</v>
      </c>
      <c r="K605">
        <v>0</v>
      </c>
      <c r="L605">
        <v>10161183.16</v>
      </c>
    </row>
    <row r="606" spans="1:12" x14ac:dyDescent="0.25">
      <c r="A606" t="str">
        <f t="shared" si="9"/>
        <v>7000009P9012026M11</v>
      </c>
      <c r="B606">
        <v>51321001</v>
      </c>
      <c r="C606">
        <v>9</v>
      </c>
      <c r="D606">
        <v>70000</v>
      </c>
      <c r="E606" t="s">
        <v>79</v>
      </c>
      <c r="F606" t="s">
        <v>115</v>
      </c>
      <c r="G606" t="s">
        <v>73</v>
      </c>
      <c r="H606">
        <v>268333</v>
      </c>
      <c r="I606">
        <v>0</v>
      </c>
      <c r="J606">
        <v>0</v>
      </c>
      <c r="K606">
        <v>0</v>
      </c>
      <c r="L606">
        <v>268333</v>
      </c>
    </row>
    <row r="607" spans="1:12" x14ac:dyDescent="0.25">
      <c r="A607" t="str">
        <f t="shared" si="9"/>
        <v>7000009P9012026M12</v>
      </c>
      <c r="B607">
        <v>51321001</v>
      </c>
      <c r="C607">
        <v>9</v>
      </c>
      <c r="D607">
        <v>70000</v>
      </c>
      <c r="E607" t="s">
        <v>79</v>
      </c>
      <c r="F607" t="s">
        <v>115</v>
      </c>
      <c r="G607" t="s">
        <v>74</v>
      </c>
      <c r="H607">
        <v>536657</v>
      </c>
      <c r="I607">
        <v>0</v>
      </c>
      <c r="J607">
        <v>0</v>
      </c>
      <c r="K607">
        <v>0</v>
      </c>
      <c r="L607">
        <v>536657</v>
      </c>
    </row>
    <row r="608" spans="1:12" x14ac:dyDescent="0.25">
      <c r="A608" t="str">
        <f t="shared" si="9"/>
        <v>14D000990012026M02</v>
      </c>
      <c r="B608">
        <v>51321001</v>
      </c>
      <c r="C608">
        <v>9</v>
      </c>
      <c r="D608" t="s">
        <v>78</v>
      </c>
      <c r="E608">
        <v>99001</v>
      </c>
      <c r="F608" t="s">
        <v>115</v>
      </c>
      <c r="G608" t="s">
        <v>64</v>
      </c>
      <c r="H608">
        <v>7132815.3399999999</v>
      </c>
      <c r="I608">
        <v>7132815.3399999999</v>
      </c>
      <c r="J608">
        <v>0</v>
      </c>
      <c r="K608">
        <v>0</v>
      </c>
      <c r="L608">
        <v>0</v>
      </c>
    </row>
    <row r="609" spans="1:12" x14ac:dyDescent="0.25">
      <c r="A609" t="str">
        <f t="shared" si="9"/>
        <v>14D000990012026M03</v>
      </c>
      <c r="B609">
        <v>51321001</v>
      </c>
      <c r="C609">
        <v>9</v>
      </c>
      <c r="D609" t="s">
        <v>78</v>
      </c>
      <c r="E609">
        <v>99001</v>
      </c>
      <c r="F609" t="s">
        <v>115</v>
      </c>
      <c r="G609" t="s">
        <v>65</v>
      </c>
      <c r="H609">
        <v>11825399.890000001</v>
      </c>
      <c r="I609">
        <v>11825399.890000001</v>
      </c>
      <c r="J609">
        <v>0</v>
      </c>
      <c r="K609">
        <v>0</v>
      </c>
      <c r="L609">
        <v>0</v>
      </c>
    </row>
    <row r="610" spans="1:12" x14ac:dyDescent="0.25">
      <c r="A610" t="str">
        <f t="shared" si="9"/>
        <v>14D000990012026M04</v>
      </c>
      <c r="B610">
        <v>51321001</v>
      </c>
      <c r="C610">
        <v>9</v>
      </c>
      <c r="D610" t="s">
        <v>78</v>
      </c>
      <c r="E610">
        <v>99001</v>
      </c>
      <c r="F610" t="s">
        <v>115</v>
      </c>
      <c r="G610" t="s">
        <v>66</v>
      </c>
      <c r="H610">
        <v>9479107.3499999996</v>
      </c>
      <c r="I610">
        <v>9479107.3499999996</v>
      </c>
      <c r="J610">
        <v>0</v>
      </c>
      <c r="K610">
        <v>0</v>
      </c>
      <c r="L610">
        <v>0</v>
      </c>
    </row>
    <row r="611" spans="1:12" x14ac:dyDescent="0.25">
      <c r="A611" t="str">
        <f t="shared" si="9"/>
        <v>14D000990012026M05</v>
      </c>
      <c r="B611">
        <v>51321001</v>
      </c>
      <c r="C611">
        <v>9</v>
      </c>
      <c r="D611" t="s">
        <v>78</v>
      </c>
      <c r="E611">
        <v>99001</v>
      </c>
      <c r="F611" t="s">
        <v>115</v>
      </c>
      <c r="G611" t="s">
        <v>67</v>
      </c>
      <c r="H611">
        <v>9479107.8800000008</v>
      </c>
      <c r="I611">
        <v>9479107.8800000008</v>
      </c>
      <c r="J611">
        <v>0</v>
      </c>
      <c r="K611">
        <v>0</v>
      </c>
      <c r="L611">
        <v>0</v>
      </c>
    </row>
    <row r="612" spans="1:12" x14ac:dyDescent="0.25">
      <c r="A612" t="str">
        <f t="shared" si="9"/>
        <v>14D000990012026M06</v>
      </c>
      <c r="B612">
        <v>51321001</v>
      </c>
      <c r="C612">
        <v>9</v>
      </c>
      <c r="D612" t="s">
        <v>78</v>
      </c>
      <c r="E612">
        <v>99001</v>
      </c>
      <c r="F612" t="s">
        <v>115</v>
      </c>
      <c r="G612" t="s">
        <v>68</v>
      </c>
      <c r="H612">
        <v>9479107.8800000008</v>
      </c>
      <c r="I612">
        <v>9479107.8800000008</v>
      </c>
      <c r="J612">
        <v>0</v>
      </c>
      <c r="K612">
        <v>0</v>
      </c>
      <c r="L612">
        <v>0</v>
      </c>
    </row>
    <row r="613" spans="1:12" x14ac:dyDescent="0.25">
      <c r="A613" t="str">
        <f t="shared" si="9"/>
        <v>14D000990012026M07</v>
      </c>
      <c r="B613">
        <v>51321001</v>
      </c>
      <c r="C613">
        <v>9</v>
      </c>
      <c r="D613" t="s">
        <v>78</v>
      </c>
      <c r="E613">
        <v>99001</v>
      </c>
      <c r="F613" t="s">
        <v>115</v>
      </c>
      <c r="G613" t="s">
        <v>69</v>
      </c>
      <c r="H613">
        <v>9479106.2899999991</v>
      </c>
      <c r="I613">
        <v>9479106.2899999991</v>
      </c>
      <c r="J613">
        <v>0</v>
      </c>
      <c r="K613">
        <v>0</v>
      </c>
      <c r="L613">
        <v>0</v>
      </c>
    </row>
    <row r="614" spans="1:12" x14ac:dyDescent="0.25">
      <c r="A614" t="str">
        <f t="shared" si="9"/>
        <v>14D000990012026M08</v>
      </c>
      <c r="B614">
        <v>51321001</v>
      </c>
      <c r="C614">
        <v>9</v>
      </c>
      <c r="D614" t="s">
        <v>78</v>
      </c>
      <c r="E614">
        <v>99001</v>
      </c>
      <c r="F614" t="s">
        <v>115</v>
      </c>
      <c r="G614" t="s">
        <v>70</v>
      </c>
      <c r="H614">
        <v>9479106.2899999991</v>
      </c>
      <c r="I614">
        <v>9479106.2899999991</v>
      </c>
      <c r="J614">
        <v>0</v>
      </c>
      <c r="K614">
        <v>0</v>
      </c>
      <c r="L614">
        <v>0</v>
      </c>
    </row>
    <row r="615" spans="1:12" x14ac:dyDescent="0.25">
      <c r="A615" t="str">
        <f t="shared" si="9"/>
        <v>14D000990012026M09</v>
      </c>
      <c r="B615">
        <v>51321001</v>
      </c>
      <c r="C615">
        <v>9</v>
      </c>
      <c r="D615" t="s">
        <v>78</v>
      </c>
      <c r="E615">
        <v>99001</v>
      </c>
      <c r="F615" t="s">
        <v>115</v>
      </c>
      <c r="G615" t="s">
        <v>71</v>
      </c>
      <c r="H615">
        <v>9479106.2899999991</v>
      </c>
      <c r="I615">
        <v>9479106.2899999991</v>
      </c>
      <c r="J615">
        <v>0</v>
      </c>
      <c r="K615">
        <v>0</v>
      </c>
      <c r="L615">
        <v>0</v>
      </c>
    </row>
    <row r="616" spans="1:12" x14ac:dyDescent="0.25">
      <c r="A616" t="str">
        <f t="shared" si="9"/>
        <v>14D000990012026M10</v>
      </c>
      <c r="B616">
        <v>51321001</v>
      </c>
      <c r="C616">
        <v>9</v>
      </c>
      <c r="D616" t="s">
        <v>78</v>
      </c>
      <c r="E616">
        <v>99001</v>
      </c>
      <c r="F616" t="s">
        <v>115</v>
      </c>
      <c r="G616" t="s">
        <v>72</v>
      </c>
      <c r="H616">
        <v>24962500.399999999</v>
      </c>
      <c r="I616">
        <v>9479106.2899999991</v>
      </c>
      <c r="J616">
        <v>10.93</v>
      </c>
      <c r="K616">
        <v>0</v>
      </c>
      <c r="L616">
        <v>15483383.18</v>
      </c>
    </row>
    <row r="617" spans="1:12" x14ac:dyDescent="0.25">
      <c r="A617" t="str">
        <f t="shared" si="9"/>
        <v>14D000990012026M11</v>
      </c>
      <c r="B617">
        <v>51321001</v>
      </c>
      <c r="C617">
        <v>9</v>
      </c>
      <c r="D617" t="s">
        <v>78</v>
      </c>
      <c r="E617">
        <v>99001</v>
      </c>
      <c r="F617" t="s">
        <v>115</v>
      </c>
      <c r="G617" t="s">
        <v>73</v>
      </c>
      <c r="H617">
        <v>11480214.810000001</v>
      </c>
      <c r="I617">
        <v>0</v>
      </c>
      <c r="J617">
        <v>9479108.2699999996</v>
      </c>
      <c r="K617">
        <v>0</v>
      </c>
      <c r="L617">
        <v>2001106.54</v>
      </c>
    </row>
    <row r="618" spans="1:12" x14ac:dyDescent="0.25">
      <c r="A618" t="str">
        <f t="shared" si="9"/>
        <v>14D000990012026M12</v>
      </c>
      <c r="B618">
        <v>51321001</v>
      </c>
      <c r="C618">
        <v>9</v>
      </c>
      <c r="D618" t="s">
        <v>78</v>
      </c>
      <c r="E618">
        <v>99001</v>
      </c>
      <c r="F618" t="s">
        <v>115</v>
      </c>
      <c r="G618" t="s">
        <v>74</v>
      </c>
      <c r="H618">
        <v>23854048.43</v>
      </c>
      <c r="I618">
        <v>0</v>
      </c>
      <c r="J618">
        <v>18958216.539999999</v>
      </c>
      <c r="K618">
        <v>0</v>
      </c>
      <c r="L618">
        <v>4895831.8899999997</v>
      </c>
    </row>
    <row r="619" spans="1:12" x14ac:dyDescent="0.25">
      <c r="A619" t="str">
        <f t="shared" si="9"/>
        <v>501001090012026M02</v>
      </c>
      <c r="B619">
        <v>51321001</v>
      </c>
      <c r="C619">
        <v>10</v>
      </c>
      <c r="D619">
        <v>50100</v>
      </c>
      <c r="E619">
        <v>109001</v>
      </c>
      <c r="F619" t="s">
        <v>115</v>
      </c>
      <c r="G619" t="s">
        <v>64</v>
      </c>
      <c r="H619">
        <v>0</v>
      </c>
      <c r="I619">
        <v>0</v>
      </c>
      <c r="J619">
        <v>0</v>
      </c>
      <c r="K619">
        <v>0</v>
      </c>
      <c r="L619">
        <v>0</v>
      </c>
    </row>
    <row r="620" spans="1:12" x14ac:dyDescent="0.25">
      <c r="A620" t="str">
        <f t="shared" si="9"/>
        <v>501001090012026M03</v>
      </c>
      <c r="B620">
        <v>51321001</v>
      </c>
      <c r="C620">
        <v>10</v>
      </c>
      <c r="D620">
        <v>50100</v>
      </c>
      <c r="E620">
        <v>109001</v>
      </c>
      <c r="F620" t="s">
        <v>115</v>
      </c>
      <c r="G620" t="s">
        <v>65</v>
      </c>
      <c r="H620">
        <v>0</v>
      </c>
      <c r="I620">
        <v>0</v>
      </c>
      <c r="J620">
        <v>0</v>
      </c>
      <c r="K620">
        <v>0</v>
      </c>
      <c r="L620">
        <v>0</v>
      </c>
    </row>
    <row r="621" spans="1:12" x14ac:dyDescent="0.25">
      <c r="A621" t="str">
        <f t="shared" si="9"/>
        <v>501001090012026M04</v>
      </c>
      <c r="B621">
        <v>51321001</v>
      </c>
      <c r="C621">
        <v>10</v>
      </c>
      <c r="D621">
        <v>50100</v>
      </c>
      <c r="E621">
        <v>109001</v>
      </c>
      <c r="F621" t="s">
        <v>115</v>
      </c>
      <c r="G621" t="s">
        <v>66</v>
      </c>
      <c r="H621">
        <v>939600</v>
      </c>
      <c r="I621">
        <v>939600</v>
      </c>
      <c r="J621">
        <v>0</v>
      </c>
      <c r="K621">
        <v>0</v>
      </c>
      <c r="L621">
        <v>0</v>
      </c>
    </row>
    <row r="622" spans="1:12" x14ac:dyDescent="0.25">
      <c r="A622" t="str">
        <f t="shared" si="9"/>
        <v>501001090012026M05</v>
      </c>
      <c r="B622">
        <v>51321001</v>
      </c>
      <c r="C622">
        <v>10</v>
      </c>
      <c r="D622">
        <v>50100</v>
      </c>
      <c r="E622">
        <v>109001</v>
      </c>
      <c r="F622" t="s">
        <v>115</v>
      </c>
      <c r="G622" t="s">
        <v>67</v>
      </c>
      <c r="H622">
        <v>313200</v>
      </c>
      <c r="I622">
        <v>313200</v>
      </c>
      <c r="J622">
        <v>0</v>
      </c>
      <c r="K622">
        <v>0</v>
      </c>
      <c r="L622">
        <v>0</v>
      </c>
    </row>
    <row r="623" spans="1:12" x14ac:dyDescent="0.25">
      <c r="A623" t="str">
        <f t="shared" si="9"/>
        <v>501001090012026M06</v>
      </c>
      <c r="B623">
        <v>51321001</v>
      </c>
      <c r="C623">
        <v>10</v>
      </c>
      <c r="D623">
        <v>50100</v>
      </c>
      <c r="E623">
        <v>109001</v>
      </c>
      <c r="F623" t="s">
        <v>115</v>
      </c>
      <c r="G623" t="s">
        <v>68</v>
      </c>
      <c r="H623">
        <v>313200</v>
      </c>
      <c r="I623">
        <v>313200</v>
      </c>
      <c r="J623">
        <v>0</v>
      </c>
      <c r="K623">
        <v>0</v>
      </c>
      <c r="L623">
        <v>0</v>
      </c>
    </row>
    <row r="624" spans="1:12" x14ac:dyDescent="0.25">
      <c r="A624" t="str">
        <f t="shared" si="9"/>
        <v>501001090012026M07</v>
      </c>
      <c r="B624">
        <v>51321001</v>
      </c>
      <c r="C624">
        <v>10</v>
      </c>
      <c r="D624">
        <v>50100</v>
      </c>
      <c r="E624">
        <v>109001</v>
      </c>
      <c r="F624" t="s">
        <v>115</v>
      </c>
      <c r="G624" t="s">
        <v>69</v>
      </c>
      <c r="H624">
        <v>313200</v>
      </c>
      <c r="I624">
        <v>313200</v>
      </c>
      <c r="J624">
        <v>0</v>
      </c>
      <c r="K624">
        <v>0</v>
      </c>
      <c r="L624">
        <v>0</v>
      </c>
    </row>
    <row r="625" spans="1:12" x14ac:dyDescent="0.25">
      <c r="A625" t="str">
        <f t="shared" si="9"/>
        <v>501001090012026M08</v>
      </c>
      <c r="B625">
        <v>51321001</v>
      </c>
      <c r="C625">
        <v>10</v>
      </c>
      <c r="D625">
        <v>50100</v>
      </c>
      <c r="E625">
        <v>109001</v>
      </c>
      <c r="F625" t="s">
        <v>115</v>
      </c>
      <c r="G625" t="s">
        <v>70</v>
      </c>
      <c r="H625">
        <v>313200</v>
      </c>
      <c r="I625">
        <v>313200</v>
      </c>
      <c r="J625">
        <v>0</v>
      </c>
      <c r="K625">
        <v>0</v>
      </c>
      <c r="L625">
        <v>0</v>
      </c>
    </row>
    <row r="626" spans="1:12" x14ac:dyDescent="0.25">
      <c r="A626" t="str">
        <f t="shared" si="9"/>
        <v>501001090012026M09</v>
      </c>
      <c r="B626">
        <v>51321001</v>
      </c>
      <c r="C626">
        <v>10</v>
      </c>
      <c r="D626">
        <v>50100</v>
      </c>
      <c r="E626">
        <v>109001</v>
      </c>
      <c r="F626" t="s">
        <v>115</v>
      </c>
      <c r="G626" t="s">
        <v>71</v>
      </c>
      <c r="H626">
        <v>313200</v>
      </c>
      <c r="I626">
        <v>313200</v>
      </c>
      <c r="J626">
        <v>0</v>
      </c>
      <c r="K626">
        <v>0</v>
      </c>
      <c r="L626">
        <v>0</v>
      </c>
    </row>
    <row r="627" spans="1:12" x14ac:dyDescent="0.25">
      <c r="A627" t="str">
        <f t="shared" si="9"/>
        <v>501001090012026M10</v>
      </c>
      <c r="B627">
        <v>51321001</v>
      </c>
      <c r="C627">
        <v>10</v>
      </c>
      <c r="D627">
        <v>50100</v>
      </c>
      <c r="E627">
        <v>109001</v>
      </c>
      <c r="F627" t="s">
        <v>115</v>
      </c>
      <c r="G627" t="s">
        <v>72</v>
      </c>
      <c r="H627">
        <v>346608</v>
      </c>
      <c r="I627">
        <v>0</v>
      </c>
      <c r="J627">
        <v>346608</v>
      </c>
      <c r="K627">
        <v>0</v>
      </c>
      <c r="L627">
        <v>0</v>
      </c>
    </row>
    <row r="628" spans="1:12" x14ac:dyDescent="0.25">
      <c r="A628" t="str">
        <f t="shared" si="9"/>
        <v>501001090012026M11</v>
      </c>
      <c r="B628">
        <v>51321001</v>
      </c>
      <c r="C628">
        <v>10</v>
      </c>
      <c r="D628">
        <v>50100</v>
      </c>
      <c r="E628">
        <v>109001</v>
      </c>
      <c r="F628" t="s">
        <v>115</v>
      </c>
      <c r="G628" t="s">
        <v>73</v>
      </c>
      <c r="H628">
        <v>316912</v>
      </c>
      <c r="I628">
        <v>0</v>
      </c>
      <c r="J628">
        <v>316912</v>
      </c>
      <c r="K628">
        <v>0</v>
      </c>
      <c r="L628">
        <v>0</v>
      </c>
    </row>
    <row r="629" spans="1:12" x14ac:dyDescent="0.25">
      <c r="A629" t="str">
        <f t="shared" si="9"/>
        <v>501001090012026M12</v>
      </c>
      <c r="B629">
        <v>51321001</v>
      </c>
      <c r="C629">
        <v>10</v>
      </c>
      <c r="D629">
        <v>50100</v>
      </c>
      <c r="E629">
        <v>109001</v>
      </c>
      <c r="F629" t="s">
        <v>115</v>
      </c>
      <c r="G629" t="s">
        <v>74</v>
      </c>
      <c r="H629">
        <v>589280</v>
      </c>
      <c r="I629">
        <v>0</v>
      </c>
      <c r="J629">
        <v>589280</v>
      </c>
      <c r="K629">
        <v>0</v>
      </c>
      <c r="L629">
        <v>0</v>
      </c>
    </row>
    <row r="630" spans="1:12" x14ac:dyDescent="0.25">
      <c r="A630" t="str">
        <f t="shared" si="9"/>
        <v>7310010P9012026M02</v>
      </c>
      <c r="B630">
        <v>51321001</v>
      </c>
      <c r="C630">
        <v>10</v>
      </c>
      <c r="D630">
        <v>73100</v>
      </c>
      <c r="E630" t="s">
        <v>80</v>
      </c>
      <c r="F630" t="s">
        <v>115</v>
      </c>
      <c r="G630" t="s">
        <v>64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 x14ac:dyDescent="0.25">
      <c r="A631" t="str">
        <f t="shared" si="9"/>
        <v>7310010P9012026M03</v>
      </c>
      <c r="B631">
        <v>51321001</v>
      </c>
      <c r="C631">
        <v>10</v>
      </c>
      <c r="D631">
        <v>73100</v>
      </c>
      <c r="E631" t="s">
        <v>80</v>
      </c>
      <c r="F631" t="s">
        <v>115</v>
      </c>
      <c r="G631" t="s">
        <v>65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x14ac:dyDescent="0.25">
      <c r="A632" t="str">
        <f t="shared" si="9"/>
        <v>7310010P9012026M04</v>
      </c>
      <c r="B632">
        <v>51321001</v>
      </c>
      <c r="C632">
        <v>10</v>
      </c>
      <c r="D632">
        <v>73100</v>
      </c>
      <c r="E632" t="s">
        <v>80</v>
      </c>
      <c r="F632" t="s">
        <v>115</v>
      </c>
      <c r="G632" t="s">
        <v>66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 x14ac:dyDescent="0.25">
      <c r="A633" t="str">
        <f t="shared" si="9"/>
        <v>7310010P9012026M05</v>
      </c>
      <c r="B633">
        <v>51321001</v>
      </c>
      <c r="C633">
        <v>10</v>
      </c>
      <c r="D633">
        <v>73100</v>
      </c>
      <c r="E633" t="s">
        <v>80</v>
      </c>
      <c r="F633" t="s">
        <v>115</v>
      </c>
      <c r="G633" t="s">
        <v>67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 x14ac:dyDescent="0.25">
      <c r="A634" t="str">
        <f t="shared" si="9"/>
        <v>7310010P9012026M06</v>
      </c>
      <c r="B634">
        <v>51321001</v>
      </c>
      <c r="C634">
        <v>10</v>
      </c>
      <c r="D634">
        <v>73100</v>
      </c>
      <c r="E634" t="s">
        <v>80</v>
      </c>
      <c r="F634" t="s">
        <v>115</v>
      </c>
      <c r="G634" t="s">
        <v>68</v>
      </c>
      <c r="H634">
        <v>0</v>
      </c>
      <c r="I634">
        <v>0</v>
      </c>
      <c r="J634">
        <v>0</v>
      </c>
      <c r="K634">
        <v>0</v>
      </c>
      <c r="L634">
        <v>0</v>
      </c>
    </row>
    <row r="635" spans="1:12" x14ac:dyDescent="0.25">
      <c r="A635" t="str">
        <f t="shared" si="9"/>
        <v>7310010P9012026M07</v>
      </c>
      <c r="B635">
        <v>51321001</v>
      </c>
      <c r="C635">
        <v>10</v>
      </c>
      <c r="D635">
        <v>73100</v>
      </c>
      <c r="E635" t="s">
        <v>80</v>
      </c>
      <c r="F635" t="s">
        <v>115</v>
      </c>
      <c r="G635" t="s">
        <v>69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 x14ac:dyDescent="0.25">
      <c r="A636" t="str">
        <f t="shared" si="9"/>
        <v>7310010P9012026M08</v>
      </c>
      <c r="B636">
        <v>51321001</v>
      </c>
      <c r="C636">
        <v>10</v>
      </c>
      <c r="D636">
        <v>73100</v>
      </c>
      <c r="E636" t="s">
        <v>80</v>
      </c>
      <c r="F636" t="s">
        <v>115</v>
      </c>
      <c r="G636" t="s">
        <v>70</v>
      </c>
      <c r="H636">
        <v>0</v>
      </c>
      <c r="I636">
        <v>0</v>
      </c>
      <c r="J636">
        <v>0</v>
      </c>
      <c r="K636">
        <v>0</v>
      </c>
      <c r="L636">
        <v>0</v>
      </c>
    </row>
    <row r="637" spans="1:12" x14ac:dyDescent="0.25">
      <c r="A637" t="str">
        <f t="shared" si="9"/>
        <v>7310010P9012026M09</v>
      </c>
      <c r="B637">
        <v>51321001</v>
      </c>
      <c r="C637">
        <v>10</v>
      </c>
      <c r="D637">
        <v>73100</v>
      </c>
      <c r="E637" t="s">
        <v>80</v>
      </c>
      <c r="F637" t="s">
        <v>115</v>
      </c>
      <c r="G637" t="s">
        <v>71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 x14ac:dyDescent="0.25">
      <c r="A638" t="str">
        <f t="shared" si="9"/>
        <v>7310010P9012026M10</v>
      </c>
      <c r="B638">
        <v>51321001</v>
      </c>
      <c r="C638">
        <v>10</v>
      </c>
      <c r="D638">
        <v>73100</v>
      </c>
      <c r="E638" t="s">
        <v>80</v>
      </c>
      <c r="F638" t="s">
        <v>115</v>
      </c>
      <c r="G638" t="s">
        <v>72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 x14ac:dyDescent="0.25">
      <c r="A639" t="str">
        <f t="shared" si="9"/>
        <v>7310010P9012026M11</v>
      </c>
      <c r="B639">
        <v>51321001</v>
      </c>
      <c r="C639">
        <v>10</v>
      </c>
      <c r="D639">
        <v>73100</v>
      </c>
      <c r="E639" t="s">
        <v>80</v>
      </c>
      <c r="F639" t="s">
        <v>115</v>
      </c>
      <c r="G639" t="s">
        <v>73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 t="str">
        <f t="shared" si="9"/>
        <v>7310010P9012026M12</v>
      </c>
      <c r="B640">
        <v>51321001</v>
      </c>
      <c r="C640">
        <v>10</v>
      </c>
      <c r="D640">
        <v>73100</v>
      </c>
      <c r="E640" t="s">
        <v>80</v>
      </c>
      <c r="F640" t="s">
        <v>115</v>
      </c>
      <c r="G640" t="s">
        <v>74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x14ac:dyDescent="0.25">
      <c r="A641" t="str">
        <f t="shared" si="9"/>
        <v>1509001080022026M02</v>
      </c>
      <c r="B641">
        <v>51321001</v>
      </c>
      <c r="C641">
        <v>10</v>
      </c>
      <c r="D641">
        <v>150900</v>
      </c>
      <c r="E641">
        <v>108002</v>
      </c>
      <c r="F641" t="s">
        <v>115</v>
      </c>
      <c r="G641" t="s">
        <v>64</v>
      </c>
      <c r="H641">
        <v>0</v>
      </c>
      <c r="I641">
        <v>0</v>
      </c>
      <c r="J641">
        <v>0</v>
      </c>
      <c r="K641">
        <v>0</v>
      </c>
      <c r="L641">
        <v>0</v>
      </c>
    </row>
    <row r="642" spans="1:12" x14ac:dyDescent="0.25">
      <c r="A642" t="str">
        <f t="shared" si="9"/>
        <v>1509001080022026M03</v>
      </c>
      <c r="B642">
        <v>51321001</v>
      </c>
      <c r="C642">
        <v>10</v>
      </c>
      <c r="D642">
        <v>150900</v>
      </c>
      <c r="E642">
        <v>108002</v>
      </c>
      <c r="F642" t="s">
        <v>115</v>
      </c>
      <c r="G642" t="s">
        <v>65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 x14ac:dyDescent="0.25">
      <c r="A643" t="str">
        <f t="shared" si="9"/>
        <v>1509001080022026M04</v>
      </c>
      <c r="B643">
        <v>51321001</v>
      </c>
      <c r="C643">
        <v>10</v>
      </c>
      <c r="D643">
        <v>150900</v>
      </c>
      <c r="E643">
        <v>108002</v>
      </c>
      <c r="F643" t="s">
        <v>115</v>
      </c>
      <c r="G643" t="s">
        <v>66</v>
      </c>
      <c r="H643">
        <v>0</v>
      </c>
      <c r="I643">
        <v>0</v>
      </c>
      <c r="J643">
        <v>0</v>
      </c>
      <c r="K643">
        <v>0</v>
      </c>
      <c r="L643">
        <v>0</v>
      </c>
    </row>
    <row r="644" spans="1:12" x14ac:dyDescent="0.25">
      <c r="A644" t="str">
        <f t="shared" si="9"/>
        <v>1509001080022026M05</v>
      </c>
      <c r="B644">
        <v>51321001</v>
      </c>
      <c r="C644">
        <v>10</v>
      </c>
      <c r="D644">
        <v>150900</v>
      </c>
      <c r="E644">
        <v>108002</v>
      </c>
      <c r="F644" t="s">
        <v>115</v>
      </c>
      <c r="G644" t="s">
        <v>67</v>
      </c>
      <c r="H644">
        <v>1496633.16</v>
      </c>
      <c r="I644">
        <v>1496633.16</v>
      </c>
      <c r="J644">
        <v>0</v>
      </c>
      <c r="K644">
        <v>0</v>
      </c>
      <c r="L644">
        <v>0</v>
      </c>
    </row>
    <row r="645" spans="1:12" x14ac:dyDescent="0.25">
      <c r="A645" t="str">
        <f t="shared" si="9"/>
        <v>1509001080022026M06</v>
      </c>
      <c r="B645">
        <v>51321001</v>
      </c>
      <c r="C645">
        <v>10</v>
      </c>
      <c r="D645">
        <v>150900</v>
      </c>
      <c r="E645">
        <v>108002</v>
      </c>
      <c r="F645" t="s">
        <v>115</v>
      </c>
      <c r="G645" t="s">
        <v>68</v>
      </c>
      <c r="H645">
        <v>462823.76</v>
      </c>
      <c r="I645">
        <v>462823.76</v>
      </c>
      <c r="J645">
        <v>0</v>
      </c>
      <c r="K645">
        <v>0</v>
      </c>
      <c r="L645">
        <v>0</v>
      </c>
    </row>
    <row r="646" spans="1:12" x14ac:dyDescent="0.25">
      <c r="A646" t="str">
        <f t="shared" si="9"/>
        <v>1509001080022026M07</v>
      </c>
      <c r="B646">
        <v>51321001</v>
      </c>
      <c r="C646">
        <v>10</v>
      </c>
      <c r="D646">
        <v>150900</v>
      </c>
      <c r="E646">
        <v>108002</v>
      </c>
      <c r="F646" t="s">
        <v>115</v>
      </c>
      <c r="G646" t="s">
        <v>69</v>
      </c>
      <c r="H646">
        <v>462823.76</v>
      </c>
      <c r="I646">
        <v>462823.76</v>
      </c>
      <c r="J646">
        <v>0</v>
      </c>
      <c r="K646">
        <v>0</v>
      </c>
      <c r="L646">
        <v>0</v>
      </c>
    </row>
    <row r="647" spans="1:12" x14ac:dyDescent="0.25">
      <c r="A647" t="str">
        <f t="shared" si="9"/>
        <v>1509001080022026M08</v>
      </c>
      <c r="B647">
        <v>51321001</v>
      </c>
      <c r="C647">
        <v>10</v>
      </c>
      <c r="D647">
        <v>150900</v>
      </c>
      <c r="E647">
        <v>108002</v>
      </c>
      <c r="F647" t="s">
        <v>115</v>
      </c>
      <c r="G647" t="s">
        <v>70</v>
      </c>
      <c r="H647">
        <v>462823.76</v>
      </c>
      <c r="I647">
        <v>462823.76</v>
      </c>
      <c r="J647">
        <v>0</v>
      </c>
      <c r="K647">
        <v>0</v>
      </c>
      <c r="L647">
        <v>0</v>
      </c>
    </row>
    <row r="648" spans="1:12" x14ac:dyDescent="0.25">
      <c r="A648" t="str">
        <f t="shared" si="9"/>
        <v>1509001080022026M09</v>
      </c>
      <c r="B648">
        <v>51321001</v>
      </c>
      <c r="C648">
        <v>10</v>
      </c>
      <c r="D648">
        <v>150900</v>
      </c>
      <c r="E648">
        <v>108002</v>
      </c>
      <c r="F648" t="s">
        <v>115</v>
      </c>
      <c r="G648" t="s">
        <v>71</v>
      </c>
      <c r="H648">
        <v>462823.76</v>
      </c>
      <c r="I648">
        <v>462823.76</v>
      </c>
      <c r="J648">
        <v>0</v>
      </c>
      <c r="K648">
        <v>0</v>
      </c>
      <c r="L648">
        <v>0</v>
      </c>
    </row>
    <row r="649" spans="1:12" x14ac:dyDescent="0.25">
      <c r="A649" t="str">
        <f t="shared" si="9"/>
        <v>1509001080022026M10</v>
      </c>
      <c r="B649">
        <v>51321001</v>
      </c>
      <c r="C649">
        <v>10</v>
      </c>
      <c r="D649">
        <v>150900</v>
      </c>
      <c r="E649">
        <v>108002</v>
      </c>
      <c r="F649" t="s">
        <v>115</v>
      </c>
      <c r="G649" t="s">
        <v>72</v>
      </c>
      <c r="H649">
        <v>580485.80000000005</v>
      </c>
      <c r="I649">
        <v>462823.76</v>
      </c>
      <c r="J649">
        <v>117662.04</v>
      </c>
      <c r="K649">
        <v>0</v>
      </c>
      <c r="L649">
        <v>0</v>
      </c>
    </row>
    <row r="650" spans="1:12" x14ac:dyDescent="0.25">
      <c r="A650" t="str">
        <f t="shared" si="9"/>
        <v>1509001080022026M11</v>
      </c>
      <c r="B650">
        <v>51321001</v>
      </c>
      <c r="C650">
        <v>10</v>
      </c>
      <c r="D650">
        <v>150900</v>
      </c>
      <c r="E650">
        <v>108002</v>
      </c>
      <c r="F650" t="s">
        <v>115</v>
      </c>
      <c r="G650" t="s">
        <v>73</v>
      </c>
      <c r="H650">
        <v>475898</v>
      </c>
      <c r="I650">
        <v>0</v>
      </c>
      <c r="J650">
        <v>475898</v>
      </c>
      <c r="K650">
        <v>0</v>
      </c>
      <c r="L650">
        <v>0</v>
      </c>
    </row>
    <row r="651" spans="1:12" x14ac:dyDescent="0.25">
      <c r="A651" t="str">
        <f t="shared" ref="A651:A714" si="10">D651&amp;E651&amp;G651</f>
        <v>1509001080022026M12</v>
      </c>
      <c r="B651">
        <v>51321001</v>
      </c>
      <c r="C651">
        <v>10</v>
      </c>
      <c r="D651">
        <v>150900</v>
      </c>
      <c r="E651">
        <v>108002</v>
      </c>
      <c r="F651" t="s">
        <v>115</v>
      </c>
      <c r="G651" t="s">
        <v>74</v>
      </c>
      <c r="H651">
        <v>794924</v>
      </c>
      <c r="I651">
        <v>0</v>
      </c>
      <c r="J651">
        <v>794924</v>
      </c>
      <c r="K651">
        <v>0</v>
      </c>
      <c r="L651">
        <v>0</v>
      </c>
    </row>
    <row r="652" spans="1:12" x14ac:dyDescent="0.25">
      <c r="A652" t="str">
        <f t="shared" si="10"/>
        <v>1509041081022026M02</v>
      </c>
      <c r="B652">
        <v>51321001</v>
      </c>
      <c r="C652">
        <v>10</v>
      </c>
      <c r="D652">
        <v>150904</v>
      </c>
      <c r="E652">
        <v>108102</v>
      </c>
      <c r="F652" t="s">
        <v>115</v>
      </c>
      <c r="G652" t="s">
        <v>64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 x14ac:dyDescent="0.25">
      <c r="A653" t="str">
        <f t="shared" si="10"/>
        <v>1509041081022026M03</v>
      </c>
      <c r="B653">
        <v>51321001</v>
      </c>
      <c r="C653">
        <v>10</v>
      </c>
      <c r="D653">
        <v>150904</v>
      </c>
      <c r="E653">
        <v>108102</v>
      </c>
      <c r="F653" t="s">
        <v>115</v>
      </c>
      <c r="G653" t="s">
        <v>65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x14ac:dyDescent="0.25">
      <c r="A654" t="str">
        <f t="shared" si="10"/>
        <v>1509041081022026M04</v>
      </c>
      <c r="B654">
        <v>51321001</v>
      </c>
      <c r="C654">
        <v>10</v>
      </c>
      <c r="D654">
        <v>150904</v>
      </c>
      <c r="E654">
        <v>108102</v>
      </c>
      <c r="F654" t="s">
        <v>115</v>
      </c>
      <c r="G654" t="s">
        <v>66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25">
      <c r="A655" t="str">
        <f t="shared" si="10"/>
        <v>1509041081022026M05</v>
      </c>
      <c r="B655">
        <v>51321001</v>
      </c>
      <c r="C655">
        <v>10</v>
      </c>
      <c r="D655">
        <v>150904</v>
      </c>
      <c r="E655">
        <v>108102</v>
      </c>
      <c r="F655" t="s">
        <v>115</v>
      </c>
      <c r="G655" t="s">
        <v>67</v>
      </c>
      <c r="H655">
        <v>487234.94</v>
      </c>
      <c r="I655">
        <v>487234.94</v>
      </c>
      <c r="J655">
        <v>0</v>
      </c>
      <c r="K655">
        <v>0</v>
      </c>
      <c r="L655">
        <v>0</v>
      </c>
    </row>
    <row r="656" spans="1:12" x14ac:dyDescent="0.25">
      <c r="A656" t="str">
        <f t="shared" si="10"/>
        <v>1509041081022026M06</v>
      </c>
      <c r="B656">
        <v>51321001</v>
      </c>
      <c r="C656">
        <v>10</v>
      </c>
      <c r="D656">
        <v>150904</v>
      </c>
      <c r="E656">
        <v>108102</v>
      </c>
      <c r="F656" t="s">
        <v>115</v>
      </c>
      <c r="G656" t="s">
        <v>68</v>
      </c>
      <c r="H656">
        <v>121808.73</v>
      </c>
      <c r="I656">
        <v>121808.73</v>
      </c>
      <c r="J656">
        <v>0</v>
      </c>
      <c r="K656">
        <v>0</v>
      </c>
      <c r="L656">
        <v>0</v>
      </c>
    </row>
    <row r="657" spans="1:12" x14ac:dyDescent="0.25">
      <c r="A657" t="str">
        <f t="shared" si="10"/>
        <v>1509041081022026M07</v>
      </c>
      <c r="B657">
        <v>51321001</v>
      </c>
      <c r="C657">
        <v>10</v>
      </c>
      <c r="D657">
        <v>150904</v>
      </c>
      <c r="E657">
        <v>108102</v>
      </c>
      <c r="F657" t="s">
        <v>115</v>
      </c>
      <c r="G657" t="s">
        <v>69</v>
      </c>
      <c r="H657">
        <v>121808.73</v>
      </c>
      <c r="I657">
        <v>121808.73</v>
      </c>
      <c r="J657">
        <v>0</v>
      </c>
      <c r="K657">
        <v>0</v>
      </c>
      <c r="L657">
        <v>0</v>
      </c>
    </row>
    <row r="658" spans="1:12" x14ac:dyDescent="0.25">
      <c r="A658" t="str">
        <f t="shared" si="10"/>
        <v>1509041081022026M08</v>
      </c>
      <c r="B658">
        <v>51321001</v>
      </c>
      <c r="C658">
        <v>10</v>
      </c>
      <c r="D658">
        <v>150904</v>
      </c>
      <c r="E658">
        <v>108102</v>
      </c>
      <c r="F658" t="s">
        <v>115</v>
      </c>
      <c r="G658" t="s">
        <v>70</v>
      </c>
      <c r="H658">
        <v>121808.73</v>
      </c>
      <c r="I658">
        <v>121808.73</v>
      </c>
      <c r="J658">
        <v>0</v>
      </c>
      <c r="K658">
        <v>0</v>
      </c>
      <c r="L658">
        <v>0</v>
      </c>
    </row>
    <row r="659" spans="1:12" x14ac:dyDescent="0.25">
      <c r="A659" t="str">
        <f t="shared" si="10"/>
        <v>1509041081022026M09</v>
      </c>
      <c r="B659">
        <v>51321001</v>
      </c>
      <c r="C659">
        <v>10</v>
      </c>
      <c r="D659">
        <v>150904</v>
      </c>
      <c r="E659">
        <v>108102</v>
      </c>
      <c r="F659" t="s">
        <v>115</v>
      </c>
      <c r="G659" t="s">
        <v>71</v>
      </c>
      <c r="H659">
        <v>121808.73</v>
      </c>
      <c r="I659">
        <v>121808.73</v>
      </c>
      <c r="J659">
        <v>0</v>
      </c>
      <c r="K659">
        <v>0</v>
      </c>
      <c r="L659">
        <v>0</v>
      </c>
    </row>
    <row r="660" spans="1:12" x14ac:dyDescent="0.25">
      <c r="A660" t="str">
        <f t="shared" si="10"/>
        <v>1509041081022026M10</v>
      </c>
      <c r="B660">
        <v>51321001</v>
      </c>
      <c r="C660">
        <v>10</v>
      </c>
      <c r="D660">
        <v>150904</v>
      </c>
      <c r="E660">
        <v>108102</v>
      </c>
      <c r="F660" t="s">
        <v>115</v>
      </c>
      <c r="G660" t="s">
        <v>72</v>
      </c>
      <c r="H660">
        <v>147074.14000000001</v>
      </c>
      <c r="I660">
        <v>121808.73</v>
      </c>
      <c r="J660">
        <v>25265.41</v>
      </c>
      <c r="K660">
        <v>0</v>
      </c>
      <c r="L660">
        <v>0</v>
      </c>
    </row>
    <row r="661" spans="1:12" x14ac:dyDescent="0.25">
      <c r="A661" t="str">
        <f t="shared" si="10"/>
        <v>1509041081022026M11</v>
      </c>
      <c r="B661">
        <v>51321001</v>
      </c>
      <c r="C661">
        <v>10</v>
      </c>
      <c r="D661">
        <v>150904</v>
      </c>
      <c r="E661">
        <v>108102</v>
      </c>
      <c r="F661" t="s">
        <v>115</v>
      </c>
      <c r="G661" t="s">
        <v>73</v>
      </c>
      <c r="H661">
        <v>124616</v>
      </c>
      <c r="I661">
        <v>0</v>
      </c>
      <c r="J661">
        <v>124616</v>
      </c>
      <c r="K661">
        <v>0</v>
      </c>
      <c r="L661">
        <v>0</v>
      </c>
    </row>
    <row r="662" spans="1:12" x14ac:dyDescent="0.25">
      <c r="A662" t="str">
        <f t="shared" si="10"/>
        <v>1509041081022026M12</v>
      </c>
      <c r="B662">
        <v>51321001</v>
      </c>
      <c r="C662">
        <v>10</v>
      </c>
      <c r="D662">
        <v>150904</v>
      </c>
      <c r="E662">
        <v>108102</v>
      </c>
      <c r="F662" t="s">
        <v>115</v>
      </c>
      <c r="G662" t="s">
        <v>74</v>
      </c>
      <c r="H662">
        <v>215545</v>
      </c>
      <c r="I662">
        <v>0</v>
      </c>
      <c r="J662">
        <v>215545</v>
      </c>
      <c r="K662">
        <v>0</v>
      </c>
      <c r="L662">
        <v>0</v>
      </c>
    </row>
    <row r="663" spans="1:12" x14ac:dyDescent="0.25">
      <c r="A663" t="str">
        <f t="shared" si="10"/>
        <v>1509041081042026M02</v>
      </c>
      <c r="B663">
        <v>51321001</v>
      </c>
      <c r="C663">
        <v>10</v>
      </c>
      <c r="D663">
        <v>150904</v>
      </c>
      <c r="E663">
        <v>108104</v>
      </c>
      <c r="F663" t="s">
        <v>115</v>
      </c>
      <c r="G663" t="s">
        <v>64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x14ac:dyDescent="0.25">
      <c r="A664" t="str">
        <f t="shared" si="10"/>
        <v>1509041081042026M03</v>
      </c>
      <c r="B664">
        <v>51321001</v>
      </c>
      <c r="C664">
        <v>10</v>
      </c>
      <c r="D664">
        <v>150904</v>
      </c>
      <c r="E664">
        <v>108104</v>
      </c>
      <c r="F664" t="s">
        <v>115</v>
      </c>
      <c r="G664" t="s">
        <v>65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x14ac:dyDescent="0.25">
      <c r="A665" t="str">
        <f t="shared" si="10"/>
        <v>1509041081042026M04</v>
      </c>
      <c r="B665">
        <v>51321001</v>
      </c>
      <c r="C665">
        <v>10</v>
      </c>
      <c r="D665">
        <v>150904</v>
      </c>
      <c r="E665">
        <v>108104</v>
      </c>
      <c r="F665" t="s">
        <v>115</v>
      </c>
      <c r="G665" t="s">
        <v>66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2" x14ac:dyDescent="0.25">
      <c r="A666" t="str">
        <f t="shared" si="10"/>
        <v>1509041081042026M05</v>
      </c>
      <c r="B666">
        <v>51321001</v>
      </c>
      <c r="C666">
        <v>10</v>
      </c>
      <c r="D666">
        <v>150904</v>
      </c>
      <c r="E666">
        <v>108104</v>
      </c>
      <c r="F666" t="s">
        <v>115</v>
      </c>
      <c r="G666" t="s">
        <v>67</v>
      </c>
      <c r="H666">
        <v>450079.76</v>
      </c>
      <c r="I666">
        <v>450079.76</v>
      </c>
      <c r="J666">
        <v>0</v>
      </c>
      <c r="K666">
        <v>0</v>
      </c>
      <c r="L666">
        <v>0</v>
      </c>
    </row>
    <row r="667" spans="1:12" x14ac:dyDescent="0.25">
      <c r="A667" t="str">
        <f t="shared" si="10"/>
        <v>1509041081042026M06</v>
      </c>
      <c r="B667">
        <v>51321001</v>
      </c>
      <c r="C667">
        <v>10</v>
      </c>
      <c r="D667">
        <v>150904</v>
      </c>
      <c r="E667">
        <v>108104</v>
      </c>
      <c r="F667" t="s">
        <v>115</v>
      </c>
      <c r="G667" t="s">
        <v>68</v>
      </c>
      <c r="H667">
        <v>112519.94</v>
      </c>
      <c r="I667">
        <v>112519.94</v>
      </c>
      <c r="J667">
        <v>0</v>
      </c>
      <c r="K667">
        <v>0</v>
      </c>
      <c r="L667">
        <v>0</v>
      </c>
    </row>
    <row r="668" spans="1:12" x14ac:dyDescent="0.25">
      <c r="A668" t="str">
        <f t="shared" si="10"/>
        <v>1509041081042026M07</v>
      </c>
      <c r="B668">
        <v>51321001</v>
      </c>
      <c r="C668">
        <v>10</v>
      </c>
      <c r="D668">
        <v>150904</v>
      </c>
      <c r="E668">
        <v>108104</v>
      </c>
      <c r="F668" t="s">
        <v>115</v>
      </c>
      <c r="G668" t="s">
        <v>69</v>
      </c>
      <c r="H668">
        <v>112519.94</v>
      </c>
      <c r="I668">
        <v>112519.94</v>
      </c>
      <c r="J668">
        <v>0</v>
      </c>
      <c r="K668">
        <v>0</v>
      </c>
      <c r="L668">
        <v>0</v>
      </c>
    </row>
    <row r="669" spans="1:12" x14ac:dyDescent="0.25">
      <c r="A669" t="str">
        <f t="shared" si="10"/>
        <v>1509041081042026M08</v>
      </c>
      <c r="B669">
        <v>51321001</v>
      </c>
      <c r="C669">
        <v>10</v>
      </c>
      <c r="D669">
        <v>150904</v>
      </c>
      <c r="E669">
        <v>108104</v>
      </c>
      <c r="F669" t="s">
        <v>115</v>
      </c>
      <c r="G669" t="s">
        <v>70</v>
      </c>
      <c r="H669">
        <v>112519.94</v>
      </c>
      <c r="I669">
        <v>112519.94</v>
      </c>
      <c r="J669">
        <v>0</v>
      </c>
      <c r="K669">
        <v>0</v>
      </c>
      <c r="L669">
        <v>0</v>
      </c>
    </row>
    <row r="670" spans="1:12" x14ac:dyDescent="0.25">
      <c r="A670" t="str">
        <f t="shared" si="10"/>
        <v>1509041081042026M09</v>
      </c>
      <c r="B670">
        <v>51321001</v>
      </c>
      <c r="C670">
        <v>10</v>
      </c>
      <c r="D670">
        <v>150904</v>
      </c>
      <c r="E670">
        <v>108104</v>
      </c>
      <c r="F670" t="s">
        <v>115</v>
      </c>
      <c r="G670" t="s">
        <v>71</v>
      </c>
      <c r="H670">
        <v>112519.94</v>
      </c>
      <c r="I670">
        <v>112519.94</v>
      </c>
      <c r="J670">
        <v>0</v>
      </c>
      <c r="K670">
        <v>0</v>
      </c>
      <c r="L670">
        <v>0</v>
      </c>
    </row>
    <row r="671" spans="1:12" x14ac:dyDescent="0.25">
      <c r="A671" t="str">
        <f t="shared" si="10"/>
        <v>1509041081042026M10</v>
      </c>
      <c r="B671">
        <v>51321001</v>
      </c>
      <c r="C671">
        <v>10</v>
      </c>
      <c r="D671">
        <v>150904</v>
      </c>
      <c r="E671">
        <v>108104</v>
      </c>
      <c r="F671" t="s">
        <v>115</v>
      </c>
      <c r="G671" t="s">
        <v>72</v>
      </c>
      <c r="H671">
        <v>112520.48</v>
      </c>
      <c r="I671">
        <v>112519.94</v>
      </c>
      <c r="J671">
        <v>0.54</v>
      </c>
      <c r="K671">
        <v>0</v>
      </c>
      <c r="L671">
        <v>0</v>
      </c>
    </row>
    <row r="672" spans="1:12" x14ac:dyDescent="0.25">
      <c r="A672" t="str">
        <f t="shared" si="10"/>
        <v>1509041081042026M11</v>
      </c>
      <c r="B672">
        <v>51321001</v>
      </c>
      <c r="C672">
        <v>10</v>
      </c>
      <c r="D672">
        <v>150904</v>
      </c>
      <c r="E672">
        <v>108104</v>
      </c>
      <c r="F672" t="s">
        <v>115</v>
      </c>
      <c r="G672" t="s">
        <v>73</v>
      </c>
      <c r="H672">
        <v>112520</v>
      </c>
      <c r="I672">
        <v>0</v>
      </c>
      <c r="J672">
        <v>112520</v>
      </c>
      <c r="K672">
        <v>0</v>
      </c>
      <c r="L672">
        <v>0</v>
      </c>
    </row>
    <row r="673" spans="1:12" x14ac:dyDescent="0.25">
      <c r="A673" t="str">
        <f t="shared" si="10"/>
        <v>1509041081042026M12</v>
      </c>
      <c r="B673">
        <v>51321001</v>
      </c>
      <c r="C673">
        <v>10</v>
      </c>
      <c r="D673">
        <v>150904</v>
      </c>
      <c r="E673">
        <v>108104</v>
      </c>
      <c r="F673" t="s">
        <v>115</v>
      </c>
      <c r="G673" t="s">
        <v>74</v>
      </c>
      <c r="H673">
        <v>225040</v>
      </c>
      <c r="I673">
        <v>0</v>
      </c>
      <c r="J673">
        <v>225040</v>
      </c>
      <c r="K673">
        <v>0</v>
      </c>
      <c r="L673">
        <v>0</v>
      </c>
    </row>
    <row r="674" spans="1:12" x14ac:dyDescent="0.25">
      <c r="A674" t="str">
        <f t="shared" si="10"/>
        <v>2002001024032026M02</v>
      </c>
      <c r="B674">
        <v>51321001</v>
      </c>
      <c r="C674">
        <v>10</v>
      </c>
      <c r="D674">
        <v>200200</v>
      </c>
      <c r="E674">
        <v>102403</v>
      </c>
      <c r="F674" t="s">
        <v>115</v>
      </c>
      <c r="G674" t="s">
        <v>64</v>
      </c>
      <c r="H674">
        <v>0</v>
      </c>
      <c r="I674">
        <v>0</v>
      </c>
      <c r="J674">
        <v>0</v>
      </c>
      <c r="K674">
        <v>0</v>
      </c>
      <c r="L674">
        <v>0</v>
      </c>
    </row>
    <row r="675" spans="1:12" x14ac:dyDescent="0.25">
      <c r="A675" t="str">
        <f t="shared" si="10"/>
        <v>2002001024032026M03</v>
      </c>
      <c r="B675">
        <v>51321001</v>
      </c>
      <c r="C675">
        <v>10</v>
      </c>
      <c r="D675">
        <v>200200</v>
      </c>
      <c r="E675">
        <v>102403</v>
      </c>
      <c r="F675" t="s">
        <v>115</v>
      </c>
      <c r="G675" t="s">
        <v>65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x14ac:dyDescent="0.25">
      <c r="A676" t="str">
        <f t="shared" si="10"/>
        <v>2002001024032026M04</v>
      </c>
      <c r="B676">
        <v>51321001</v>
      </c>
      <c r="C676">
        <v>10</v>
      </c>
      <c r="D676">
        <v>200200</v>
      </c>
      <c r="E676">
        <v>102403</v>
      </c>
      <c r="F676" t="s">
        <v>115</v>
      </c>
      <c r="G676" t="s">
        <v>66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25">
      <c r="A677" t="str">
        <f t="shared" si="10"/>
        <v>2002001024032026M05</v>
      </c>
      <c r="B677">
        <v>51321001</v>
      </c>
      <c r="C677">
        <v>10</v>
      </c>
      <c r="D677">
        <v>200200</v>
      </c>
      <c r="E677">
        <v>102403</v>
      </c>
      <c r="F677" t="s">
        <v>115</v>
      </c>
      <c r="G677" t="s">
        <v>67</v>
      </c>
      <c r="H677">
        <v>834144</v>
      </c>
      <c r="I677">
        <v>834144</v>
      </c>
      <c r="J677">
        <v>0</v>
      </c>
      <c r="K677">
        <v>0</v>
      </c>
      <c r="L677">
        <v>0</v>
      </c>
    </row>
    <row r="678" spans="1:12" x14ac:dyDescent="0.25">
      <c r="A678" t="str">
        <f t="shared" si="10"/>
        <v>2002001024032026M06</v>
      </c>
      <c r="B678">
        <v>51321001</v>
      </c>
      <c r="C678">
        <v>10</v>
      </c>
      <c r="D678">
        <v>200200</v>
      </c>
      <c r="E678">
        <v>102403</v>
      </c>
      <c r="F678" t="s">
        <v>115</v>
      </c>
      <c r="G678" t="s">
        <v>68</v>
      </c>
      <c r="H678">
        <v>208536</v>
      </c>
      <c r="I678">
        <v>208536</v>
      </c>
      <c r="J678">
        <v>0</v>
      </c>
      <c r="K678">
        <v>0</v>
      </c>
      <c r="L678">
        <v>0</v>
      </c>
    </row>
    <row r="679" spans="1:12" x14ac:dyDescent="0.25">
      <c r="A679" t="str">
        <f t="shared" si="10"/>
        <v>2002001024032026M07</v>
      </c>
      <c r="B679">
        <v>51321001</v>
      </c>
      <c r="C679">
        <v>10</v>
      </c>
      <c r="D679">
        <v>200200</v>
      </c>
      <c r="E679">
        <v>102403</v>
      </c>
      <c r="F679" t="s">
        <v>115</v>
      </c>
      <c r="G679" t="s">
        <v>69</v>
      </c>
      <c r="H679">
        <v>208536</v>
      </c>
      <c r="I679">
        <v>208536</v>
      </c>
      <c r="J679">
        <v>0</v>
      </c>
      <c r="K679">
        <v>0</v>
      </c>
      <c r="L679">
        <v>0</v>
      </c>
    </row>
    <row r="680" spans="1:12" x14ac:dyDescent="0.25">
      <c r="A680" t="str">
        <f t="shared" si="10"/>
        <v>2002001024032026M08</v>
      </c>
      <c r="B680">
        <v>51321001</v>
      </c>
      <c r="C680">
        <v>10</v>
      </c>
      <c r="D680">
        <v>200200</v>
      </c>
      <c r="E680">
        <v>102403</v>
      </c>
      <c r="F680" t="s">
        <v>115</v>
      </c>
      <c r="G680" t="s">
        <v>70</v>
      </c>
      <c r="H680">
        <v>208536</v>
      </c>
      <c r="I680">
        <v>208536</v>
      </c>
      <c r="J680">
        <v>0</v>
      </c>
      <c r="K680">
        <v>0</v>
      </c>
      <c r="L680">
        <v>0</v>
      </c>
    </row>
    <row r="681" spans="1:12" x14ac:dyDescent="0.25">
      <c r="A681" t="str">
        <f t="shared" si="10"/>
        <v>2002001024032026M09</v>
      </c>
      <c r="B681">
        <v>51321001</v>
      </c>
      <c r="C681">
        <v>10</v>
      </c>
      <c r="D681">
        <v>200200</v>
      </c>
      <c r="E681">
        <v>102403</v>
      </c>
      <c r="F681" t="s">
        <v>115</v>
      </c>
      <c r="G681" t="s">
        <v>71</v>
      </c>
      <c r="H681">
        <v>208536</v>
      </c>
      <c r="I681">
        <v>208536</v>
      </c>
      <c r="J681">
        <v>0</v>
      </c>
      <c r="K681">
        <v>0</v>
      </c>
      <c r="L681">
        <v>0</v>
      </c>
    </row>
    <row r="682" spans="1:12" x14ac:dyDescent="0.25">
      <c r="A682" t="str">
        <f t="shared" si="10"/>
        <v>2002001024032026M10</v>
      </c>
      <c r="B682">
        <v>51321001</v>
      </c>
      <c r="C682">
        <v>10</v>
      </c>
      <c r="D682">
        <v>200200</v>
      </c>
      <c r="E682">
        <v>102403</v>
      </c>
      <c r="F682" t="s">
        <v>115</v>
      </c>
      <c r="G682" t="s">
        <v>72</v>
      </c>
      <c r="H682">
        <v>208545</v>
      </c>
      <c r="I682">
        <v>0</v>
      </c>
      <c r="J682">
        <v>208545</v>
      </c>
      <c r="K682">
        <v>0</v>
      </c>
      <c r="L682">
        <v>0</v>
      </c>
    </row>
    <row r="683" spans="1:12" x14ac:dyDescent="0.25">
      <c r="A683" t="str">
        <f t="shared" si="10"/>
        <v>2002001024032026M11</v>
      </c>
      <c r="B683">
        <v>51321001</v>
      </c>
      <c r="C683">
        <v>10</v>
      </c>
      <c r="D683">
        <v>200200</v>
      </c>
      <c r="E683">
        <v>102403</v>
      </c>
      <c r="F683" t="s">
        <v>115</v>
      </c>
      <c r="G683" t="s">
        <v>73</v>
      </c>
      <c r="H683">
        <v>208537</v>
      </c>
      <c r="I683">
        <v>0</v>
      </c>
      <c r="J683">
        <v>208537</v>
      </c>
      <c r="K683">
        <v>0</v>
      </c>
      <c r="L683">
        <v>0</v>
      </c>
    </row>
    <row r="684" spans="1:12" x14ac:dyDescent="0.25">
      <c r="A684" t="str">
        <f t="shared" si="10"/>
        <v>2002001024032026M12</v>
      </c>
      <c r="B684">
        <v>51321001</v>
      </c>
      <c r="C684">
        <v>10</v>
      </c>
      <c r="D684">
        <v>200200</v>
      </c>
      <c r="E684">
        <v>102403</v>
      </c>
      <c r="F684" t="s">
        <v>115</v>
      </c>
      <c r="G684" t="s">
        <v>74</v>
      </c>
      <c r="H684">
        <v>417074</v>
      </c>
      <c r="I684">
        <v>0</v>
      </c>
      <c r="J684">
        <v>417062</v>
      </c>
      <c r="K684">
        <v>0</v>
      </c>
      <c r="L684">
        <v>12</v>
      </c>
    </row>
    <row r="685" spans="1:12" x14ac:dyDescent="0.25">
      <c r="A685" t="str">
        <f t="shared" si="10"/>
        <v>2002001024062026M02</v>
      </c>
      <c r="B685">
        <v>51321001</v>
      </c>
      <c r="C685">
        <v>10</v>
      </c>
      <c r="D685">
        <v>200200</v>
      </c>
      <c r="E685">
        <v>102406</v>
      </c>
      <c r="F685" t="s">
        <v>115</v>
      </c>
      <c r="G685" t="s">
        <v>64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5">
      <c r="A686" t="str">
        <f t="shared" si="10"/>
        <v>2002001024062026M03</v>
      </c>
      <c r="B686">
        <v>51321001</v>
      </c>
      <c r="C686">
        <v>10</v>
      </c>
      <c r="D686">
        <v>200200</v>
      </c>
      <c r="E686">
        <v>102406</v>
      </c>
      <c r="F686" t="s">
        <v>115</v>
      </c>
      <c r="G686" t="s">
        <v>65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x14ac:dyDescent="0.25">
      <c r="A687" t="str">
        <f t="shared" si="10"/>
        <v>2002001024062026M04</v>
      </c>
      <c r="B687">
        <v>51321001</v>
      </c>
      <c r="C687">
        <v>10</v>
      </c>
      <c r="D687">
        <v>200200</v>
      </c>
      <c r="E687">
        <v>102406</v>
      </c>
      <c r="F687" t="s">
        <v>115</v>
      </c>
      <c r="G687" t="s">
        <v>66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x14ac:dyDescent="0.25">
      <c r="A688" t="str">
        <f t="shared" si="10"/>
        <v>2002001024062026M05</v>
      </c>
      <c r="B688">
        <v>51321001</v>
      </c>
      <c r="C688">
        <v>10</v>
      </c>
      <c r="D688">
        <v>200200</v>
      </c>
      <c r="E688">
        <v>102406</v>
      </c>
      <c r="F688" t="s">
        <v>115</v>
      </c>
      <c r="G688" t="s">
        <v>67</v>
      </c>
      <c r="H688">
        <v>27840</v>
      </c>
      <c r="I688">
        <v>27840</v>
      </c>
      <c r="J688">
        <v>0</v>
      </c>
      <c r="K688">
        <v>0</v>
      </c>
      <c r="L688">
        <v>0</v>
      </c>
    </row>
    <row r="689" spans="1:12" x14ac:dyDescent="0.25">
      <c r="A689" t="str">
        <f t="shared" si="10"/>
        <v>2002001024062026M06</v>
      </c>
      <c r="B689">
        <v>51321001</v>
      </c>
      <c r="C689">
        <v>10</v>
      </c>
      <c r="D689">
        <v>200200</v>
      </c>
      <c r="E689">
        <v>102406</v>
      </c>
      <c r="F689" t="s">
        <v>115</v>
      </c>
      <c r="G689" t="s">
        <v>68</v>
      </c>
      <c r="H689">
        <v>6960</v>
      </c>
      <c r="I689">
        <v>6960</v>
      </c>
      <c r="J689">
        <v>0</v>
      </c>
      <c r="K689">
        <v>0</v>
      </c>
      <c r="L689">
        <v>0</v>
      </c>
    </row>
    <row r="690" spans="1:12" x14ac:dyDescent="0.25">
      <c r="A690" t="str">
        <f t="shared" si="10"/>
        <v>2002001024062026M07</v>
      </c>
      <c r="B690">
        <v>51321001</v>
      </c>
      <c r="C690">
        <v>10</v>
      </c>
      <c r="D690">
        <v>200200</v>
      </c>
      <c r="E690">
        <v>102406</v>
      </c>
      <c r="F690" t="s">
        <v>115</v>
      </c>
      <c r="G690" t="s">
        <v>69</v>
      </c>
      <c r="H690">
        <v>6960</v>
      </c>
      <c r="I690">
        <v>6960</v>
      </c>
      <c r="J690">
        <v>0</v>
      </c>
      <c r="K690">
        <v>0</v>
      </c>
      <c r="L690">
        <v>0</v>
      </c>
    </row>
    <row r="691" spans="1:12" x14ac:dyDescent="0.25">
      <c r="A691" t="str">
        <f t="shared" si="10"/>
        <v>2002001024062026M08</v>
      </c>
      <c r="B691">
        <v>51321001</v>
      </c>
      <c r="C691">
        <v>10</v>
      </c>
      <c r="D691">
        <v>200200</v>
      </c>
      <c r="E691">
        <v>102406</v>
      </c>
      <c r="F691" t="s">
        <v>115</v>
      </c>
      <c r="G691" t="s">
        <v>70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5">
      <c r="A692" t="str">
        <f t="shared" si="10"/>
        <v>2002001024062026M09</v>
      </c>
      <c r="B692">
        <v>51321001</v>
      </c>
      <c r="C692">
        <v>10</v>
      </c>
      <c r="D692">
        <v>200200</v>
      </c>
      <c r="E692">
        <v>102406</v>
      </c>
      <c r="F692" t="s">
        <v>115</v>
      </c>
      <c r="G692" t="s">
        <v>71</v>
      </c>
      <c r="H692">
        <v>6960</v>
      </c>
      <c r="I692">
        <v>6960</v>
      </c>
      <c r="J692">
        <v>0</v>
      </c>
      <c r="K692">
        <v>0</v>
      </c>
      <c r="L692">
        <v>0</v>
      </c>
    </row>
    <row r="693" spans="1:12" x14ac:dyDescent="0.25">
      <c r="A693" t="str">
        <f t="shared" si="10"/>
        <v>2002001024062026M10</v>
      </c>
      <c r="B693">
        <v>51321001</v>
      </c>
      <c r="C693">
        <v>10</v>
      </c>
      <c r="D693">
        <v>200200</v>
      </c>
      <c r="E693">
        <v>102406</v>
      </c>
      <c r="F693" t="s">
        <v>115</v>
      </c>
      <c r="G693" t="s">
        <v>72</v>
      </c>
      <c r="H693">
        <v>22803</v>
      </c>
      <c r="I693">
        <v>6960</v>
      </c>
      <c r="J693">
        <v>15843</v>
      </c>
      <c r="K693">
        <v>0</v>
      </c>
      <c r="L693">
        <v>0</v>
      </c>
    </row>
    <row r="694" spans="1:12" x14ac:dyDescent="0.25">
      <c r="A694" t="str">
        <f t="shared" si="10"/>
        <v>2002001024062026M11</v>
      </c>
      <c r="B694">
        <v>51321001</v>
      </c>
      <c r="C694">
        <v>10</v>
      </c>
      <c r="D694">
        <v>200200</v>
      </c>
      <c r="E694">
        <v>102406</v>
      </c>
      <c r="F694" t="s">
        <v>115</v>
      </c>
      <c r="G694" t="s">
        <v>73</v>
      </c>
      <c r="H694">
        <v>7947</v>
      </c>
      <c r="I694">
        <v>0</v>
      </c>
      <c r="J694">
        <v>7947</v>
      </c>
      <c r="K694">
        <v>0</v>
      </c>
      <c r="L694">
        <v>0</v>
      </c>
    </row>
    <row r="695" spans="1:12" x14ac:dyDescent="0.25">
      <c r="A695" t="str">
        <f t="shared" si="10"/>
        <v>2002001024062026M12</v>
      </c>
      <c r="B695">
        <v>51321001</v>
      </c>
      <c r="C695">
        <v>10</v>
      </c>
      <c r="D695">
        <v>200200</v>
      </c>
      <c r="E695">
        <v>102406</v>
      </c>
      <c r="F695" t="s">
        <v>115</v>
      </c>
      <c r="G695" t="s">
        <v>74</v>
      </c>
      <c r="H695">
        <v>4050</v>
      </c>
      <c r="I695">
        <v>0</v>
      </c>
      <c r="J695">
        <v>4050</v>
      </c>
      <c r="K695">
        <v>0</v>
      </c>
      <c r="L695">
        <v>0</v>
      </c>
    </row>
    <row r="696" spans="1:12" x14ac:dyDescent="0.25">
      <c r="A696" t="str">
        <f t="shared" si="10"/>
        <v>2002001024162026M02</v>
      </c>
      <c r="B696">
        <v>51321001</v>
      </c>
      <c r="C696">
        <v>10</v>
      </c>
      <c r="D696">
        <v>200200</v>
      </c>
      <c r="E696">
        <v>102416</v>
      </c>
      <c r="F696" t="s">
        <v>115</v>
      </c>
      <c r="G696" t="s">
        <v>64</v>
      </c>
      <c r="H696">
        <v>0</v>
      </c>
      <c r="I696">
        <v>0</v>
      </c>
      <c r="J696">
        <v>0</v>
      </c>
      <c r="K696">
        <v>0</v>
      </c>
      <c r="L696">
        <v>0</v>
      </c>
    </row>
    <row r="697" spans="1:12" x14ac:dyDescent="0.25">
      <c r="A697" t="str">
        <f t="shared" si="10"/>
        <v>2002001024162026M03</v>
      </c>
      <c r="B697">
        <v>51321001</v>
      </c>
      <c r="C697">
        <v>10</v>
      </c>
      <c r="D697">
        <v>200200</v>
      </c>
      <c r="E697">
        <v>102416</v>
      </c>
      <c r="F697" t="s">
        <v>115</v>
      </c>
      <c r="G697" t="s">
        <v>65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 x14ac:dyDescent="0.25">
      <c r="A698" t="str">
        <f t="shared" si="10"/>
        <v>2002001024162026M04</v>
      </c>
      <c r="B698">
        <v>51321001</v>
      </c>
      <c r="C698">
        <v>10</v>
      </c>
      <c r="D698">
        <v>200200</v>
      </c>
      <c r="E698">
        <v>102416</v>
      </c>
      <c r="F698" t="s">
        <v>115</v>
      </c>
      <c r="G698" t="s">
        <v>66</v>
      </c>
      <c r="H698">
        <v>0</v>
      </c>
      <c r="I698">
        <v>0</v>
      </c>
      <c r="J698">
        <v>0</v>
      </c>
      <c r="K698">
        <v>0</v>
      </c>
      <c r="L698">
        <v>0</v>
      </c>
    </row>
    <row r="699" spans="1:12" x14ac:dyDescent="0.25">
      <c r="A699" t="str">
        <f t="shared" si="10"/>
        <v>2002001024162026M05</v>
      </c>
      <c r="B699">
        <v>51321001</v>
      </c>
      <c r="C699">
        <v>10</v>
      </c>
      <c r="D699">
        <v>200200</v>
      </c>
      <c r="E699">
        <v>102416</v>
      </c>
      <c r="F699" t="s">
        <v>115</v>
      </c>
      <c r="G699" t="s">
        <v>67</v>
      </c>
      <c r="H699">
        <v>32479.95</v>
      </c>
      <c r="I699">
        <v>32479.95</v>
      </c>
      <c r="J699">
        <v>0</v>
      </c>
      <c r="K699">
        <v>0</v>
      </c>
      <c r="L699">
        <v>0</v>
      </c>
    </row>
    <row r="700" spans="1:12" x14ac:dyDescent="0.25">
      <c r="A700" t="str">
        <f t="shared" si="10"/>
        <v>2002001024162026M06</v>
      </c>
      <c r="B700">
        <v>51321001</v>
      </c>
      <c r="C700">
        <v>10</v>
      </c>
      <c r="D700">
        <v>200200</v>
      </c>
      <c r="E700">
        <v>102416</v>
      </c>
      <c r="F700" t="s">
        <v>115</v>
      </c>
      <c r="G700" t="s">
        <v>68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 x14ac:dyDescent="0.25">
      <c r="A701" t="str">
        <f t="shared" si="10"/>
        <v>2002001024162026M07</v>
      </c>
      <c r="B701">
        <v>51321001</v>
      </c>
      <c r="C701">
        <v>10</v>
      </c>
      <c r="D701">
        <v>200200</v>
      </c>
      <c r="E701">
        <v>102416</v>
      </c>
      <c r="F701" t="s">
        <v>115</v>
      </c>
      <c r="G701" t="s">
        <v>69</v>
      </c>
      <c r="H701">
        <v>16238.94</v>
      </c>
      <c r="I701">
        <v>16238.94</v>
      </c>
      <c r="J701">
        <v>0</v>
      </c>
      <c r="K701">
        <v>0</v>
      </c>
      <c r="L701">
        <v>0</v>
      </c>
    </row>
    <row r="702" spans="1:12" x14ac:dyDescent="0.25">
      <c r="A702" t="str">
        <f t="shared" si="10"/>
        <v>2002001024162026M08</v>
      </c>
      <c r="B702">
        <v>51321001</v>
      </c>
      <c r="C702">
        <v>10</v>
      </c>
      <c r="D702">
        <v>200200</v>
      </c>
      <c r="E702">
        <v>102416</v>
      </c>
      <c r="F702" t="s">
        <v>115</v>
      </c>
      <c r="G702" t="s">
        <v>70</v>
      </c>
      <c r="H702">
        <v>8118.89</v>
      </c>
      <c r="I702">
        <v>8118.89</v>
      </c>
      <c r="J702">
        <v>0</v>
      </c>
      <c r="K702">
        <v>0</v>
      </c>
      <c r="L702">
        <v>0</v>
      </c>
    </row>
    <row r="703" spans="1:12" x14ac:dyDescent="0.25">
      <c r="A703" t="str">
        <f t="shared" si="10"/>
        <v>2002001024162026M09</v>
      </c>
      <c r="B703">
        <v>51321001</v>
      </c>
      <c r="C703">
        <v>10</v>
      </c>
      <c r="D703">
        <v>200200</v>
      </c>
      <c r="E703">
        <v>102416</v>
      </c>
      <c r="F703" t="s">
        <v>115</v>
      </c>
      <c r="G703" t="s">
        <v>71</v>
      </c>
      <c r="H703">
        <v>8118.89</v>
      </c>
      <c r="I703">
        <v>8118.89</v>
      </c>
      <c r="J703">
        <v>0</v>
      </c>
      <c r="K703">
        <v>0</v>
      </c>
      <c r="L703">
        <v>0</v>
      </c>
    </row>
    <row r="704" spans="1:12" x14ac:dyDescent="0.25">
      <c r="A704" t="str">
        <f t="shared" si="10"/>
        <v>2002001024162026M10</v>
      </c>
      <c r="B704">
        <v>51321001</v>
      </c>
      <c r="C704">
        <v>10</v>
      </c>
      <c r="D704">
        <v>200200</v>
      </c>
      <c r="E704">
        <v>102416</v>
      </c>
      <c r="F704" t="s">
        <v>115</v>
      </c>
      <c r="G704" t="s">
        <v>72</v>
      </c>
      <c r="H704">
        <v>8123.33</v>
      </c>
      <c r="I704">
        <v>8118.89</v>
      </c>
      <c r="J704">
        <v>4.4400000000000004</v>
      </c>
      <c r="K704">
        <v>0</v>
      </c>
      <c r="L704">
        <v>0</v>
      </c>
    </row>
    <row r="705" spans="1:12" x14ac:dyDescent="0.25">
      <c r="A705" t="str">
        <f t="shared" si="10"/>
        <v>2002001024162026M11</v>
      </c>
      <c r="B705">
        <v>51321001</v>
      </c>
      <c r="C705">
        <v>10</v>
      </c>
      <c r="D705">
        <v>200200</v>
      </c>
      <c r="E705">
        <v>102416</v>
      </c>
      <c r="F705" t="s">
        <v>115</v>
      </c>
      <c r="G705" t="s">
        <v>73</v>
      </c>
      <c r="H705">
        <v>8120</v>
      </c>
      <c r="I705">
        <v>0</v>
      </c>
      <c r="J705">
        <v>8120</v>
      </c>
      <c r="K705">
        <v>0</v>
      </c>
      <c r="L705">
        <v>0</v>
      </c>
    </row>
    <row r="706" spans="1:12" x14ac:dyDescent="0.25">
      <c r="A706" t="str">
        <f t="shared" si="10"/>
        <v>2002001024162026M12</v>
      </c>
      <c r="B706">
        <v>51321001</v>
      </c>
      <c r="C706">
        <v>10</v>
      </c>
      <c r="D706">
        <v>200200</v>
      </c>
      <c r="E706">
        <v>102416</v>
      </c>
      <c r="F706" t="s">
        <v>115</v>
      </c>
      <c r="G706" t="s">
        <v>74</v>
      </c>
      <c r="H706">
        <v>16240</v>
      </c>
      <c r="I706">
        <v>0</v>
      </c>
      <c r="J706">
        <v>16240</v>
      </c>
      <c r="K706">
        <v>0</v>
      </c>
      <c r="L706">
        <v>0</v>
      </c>
    </row>
    <row r="707" spans="1:12" x14ac:dyDescent="0.25">
      <c r="A707" t="str">
        <f t="shared" si="10"/>
        <v>2002001024182026M02</v>
      </c>
      <c r="B707">
        <v>51321001</v>
      </c>
      <c r="C707">
        <v>10</v>
      </c>
      <c r="D707">
        <v>200200</v>
      </c>
      <c r="E707">
        <v>102418</v>
      </c>
      <c r="F707" t="s">
        <v>115</v>
      </c>
      <c r="G707" t="s">
        <v>64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25">
      <c r="A708" t="str">
        <f t="shared" si="10"/>
        <v>2002001024182026M03</v>
      </c>
      <c r="B708">
        <v>51321001</v>
      </c>
      <c r="C708">
        <v>10</v>
      </c>
      <c r="D708">
        <v>200200</v>
      </c>
      <c r="E708">
        <v>102418</v>
      </c>
      <c r="F708" t="s">
        <v>115</v>
      </c>
      <c r="G708" t="s">
        <v>65</v>
      </c>
      <c r="H708">
        <v>0</v>
      </c>
      <c r="I708">
        <v>0</v>
      </c>
      <c r="J708">
        <v>0</v>
      </c>
      <c r="K708">
        <v>0</v>
      </c>
      <c r="L708">
        <v>0</v>
      </c>
    </row>
    <row r="709" spans="1:12" x14ac:dyDescent="0.25">
      <c r="A709" t="str">
        <f t="shared" si="10"/>
        <v>2002001024182026M04</v>
      </c>
      <c r="B709">
        <v>51321001</v>
      </c>
      <c r="C709">
        <v>10</v>
      </c>
      <c r="D709">
        <v>200200</v>
      </c>
      <c r="E709">
        <v>102418</v>
      </c>
      <c r="F709" t="s">
        <v>115</v>
      </c>
      <c r="G709" t="s">
        <v>66</v>
      </c>
      <c r="H709">
        <v>0</v>
      </c>
      <c r="I709">
        <v>0</v>
      </c>
      <c r="J709">
        <v>0</v>
      </c>
      <c r="K709">
        <v>0</v>
      </c>
      <c r="L709">
        <v>0</v>
      </c>
    </row>
    <row r="710" spans="1:12" x14ac:dyDescent="0.25">
      <c r="A710" t="str">
        <f t="shared" si="10"/>
        <v>2002001024182026M05</v>
      </c>
      <c r="B710">
        <v>51321001</v>
      </c>
      <c r="C710">
        <v>10</v>
      </c>
      <c r="D710">
        <v>200200</v>
      </c>
      <c r="E710">
        <v>102418</v>
      </c>
      <c r="F710" t="s">
        <v>115</v>
      </c>
      <c r="G710" t="s">
        <v>67</v>
      </c>
      <c r="H710">
        <v>0</v>
      </c>
      <c r="I710">
        <v>0</v>
      </c>
      <c r="J710">
        <v>0</v>
      </c>
      <c r="K710">
        <v>0</v>
      </c>
      <c r="L710">
        <v>0</v>
      </c>
    </row>
    <row r="711" spans="1:12" x14ac:dyDescent="0.25">
      <c r="A711" t="str">
        <f t="shared" si="10"/>
        <v>2002001024182026M06</v>
      </c>
      <c r="B711">
        <v>51321001</v>
      </c>
      <c r="C711">
        <v>10</v>
      </c>
      <c r="D711">
        <v>200200</v>
      </c>
      <c r="E711">
        <v>102418</v>
      </c>
      <c r="F711" t="s">
        <v>115</v>
      </c>
      <c r="G711" t="s">
        <v>68</v>
      </c>
      <c r="H711">
        <v>40599.97</v>
      </c>
      <c r="I711">
        <v>40599.97</v>
      </c>
      <c r="J711">
        <v>0</v>
      </c>
      <c r="K711">
        <v>0</v>
      </c>
      <c r="L711">
        <v>0</v>
      </c>
    </row>
    <row r="712" spans="1:12" x14ac:dyDescent="0.25">
      <c r="A712" t="str">
        <f t="shared" si="10"/>
        <v>2002001024182026M07</v>
      </c>
      <c r="B712">
        <v>51321001</v>
      </c>
      <c r="C712">
        <v>10</v>
      </c>
      <c r="D712">
        <v>200200</v>
      </c>
      <c r="E712">
        <v>102418</v>
      </c>
      <c r="F712" t="s">
        <v>115</v>
      </c>
      <c r="G712" t="s">
        <v>69</v>
      </c>
      <c r="H712">
        <v>8120</v>
      </c>
      <c r="I712">
        <v>8120</v>
      </c>
      <c r="J712">
        <v>0</v>
      </c>
      <c r="K712">
        <v>0</v>
      </c>
      <c r="L712">
        <v>0</v>
      </c>
    </row>
    <row r="713" spans="1:12" x14ac:dyDescent="0.25">
      <c r="A713" t="str">
        <f t="shared" si="10"/>
        <v>2002001024182026M08</v>
      </c>
      <c r="B713">
        <v>51321001</v>
      </c>
      <c r="C713">
        <v>10</v>
      </c>
      <c r="D713">
        <v>200200</v>
      </c>
      <c r="E713">
        <v>102418</v>
      </c>
      <c r="F713" t="s">
        <v>115</v>
      </c>
      <c r="G713" t="s">
        <v>70</v>
      </c>
      <c r="H713">
        <v>8120</v>
      </c>
      <c r="I713">
        <v>8120</v>
      </c>
      <c r="J713">
        <v>0</v>
      </c>
      <c r="K713">
        <v>0</v>
      </c>
      <c r="L713">
        <v>0</v>
      </c>
    </row>
    <row r="714" spans="1:12" x14ac:dyDescent="0.25">
      <c r="A714" t="str">
        <f t="shared" si="10"/>
        <v>2002001024182026M09</v>
      </c>
      <c r="B714">
        <v>51321001</v>
      </c>
      <c r="C714">
        <v>10</v>
      </c>
      <c r="D714">
        <v>200200</v>
      </c>
      <c r="E714">
        <v>102418</v>
      </c>
      <c r="F714" t="s">
        <v>115</v>
      </c>
      <c r="G714" t="s">
        <v>71</v>
      </c>
      <c r="H714">
        <v>8119.96</v>
      </c>
      <c r="I714">
        <v>8119.96</v>
      </c>
      <c r="J714">
        <v>0</v>
      </c>
      <c r="K714">
        <v>0</v>
      </c>
      <c r="L714">
        <v>0</v>
      </c>
    </row>
    <row r="715" spans="1:12" x14ac:dyDescent="0.25">
      <c r="A715" t="str">
        <f t="shared" ref="A715:A778" si="11">D715&amp;E715&amp;G715</f>
        <v>2002001024182026M10</v>
      </c>
      <c r="B715">
        <v>51321001</v>
      </c>
      <c r="C715">
        <v>10</v>
      </c>
      <c r="D715">
        <v>200200</v>
      </c>
      <c r="E715">
        <v>102418</v>
      </c>
      <c r="F715" t="s">
        <v>115</v>
      </c>
      <c r="G715" t="s">
        <v>72</v>
      </c>
      <c r="H715">
        <v>19280.07</v>
      </c>
      <c r="I715">
        <v>0</v>
      </c>
      <c r="J715">
        <v>19280.07</v>
      </c>
      <c r="K715">
        <v>0</v>
      </c>
      <c r="L715">
        <v>0</v>
      </c>
    </row>
    <row r="716" spans="1:12" x14ac:dyDescent="0.25">
      <c r="A716" t="str">
        <f t="shared" si="11"/>
        <v>2002001024182026M11</v>
      </c>
      <c r="B716">
        <v>51321001</v>
      </c>
      <c r="C716">
        <v>10</v>
      </c>
      <c r="D716">
        <v>200200</v>
      </c>
      <c r="E716">
        <v>102418</v>
      </c>
      <c r="F716" t="s">
        <v>115</v>
      </c>
      <c r="G716" t="s">
        <v>73</v>
      </c>
      <c r="H716">
        <v>9360</v>
      </c>
      <c r="I716">
        <v>0</v>
      </c>
      <c r="J716">
        <v>9360</v>
      </c>
      <c r="K716">
        <v>0</v>
      </c>
      <c r="L716">
        <v>0</v>
      </c>
    </row>
    <row r="717" spans="1:12" x14ac:dyDescent="0.25">
      <c r="A717" t="str">
        <f t="shared" si="11"/>
        <v>2002001024182026M12</v>
      </c>
      <c r="B717">
        <v>51321001</v>
      </c>
      <c r="C717">
        <v>10</v>
      </c>
      <c r="D717">
        <v>200200</v>
      </c>
      <c r="E717">
        <v>102418</v>
      </c>
      <c r="F717" t="s">
        <v>115</v>
      </c>
      <c r="G717" t="s">
        <v>74</v>
      </c>
      <c r="H717">
        <v>3840</v>
      </c>
      <c r="I717">
        <v>0</v>
      </c>
      <c r="J717">
        <v>3840</v>
      </c>
      <c r="K717">
        <v>0</v>
      </c>
      <c r="L717">
        <v>0</v>
      </c>
    </row>
    <row r="718" spans="1:12" x14ac:dyDescent="0.25">
      <c r="A718" t="str">
        <f t="shared" si="11"/>
        <v>2002001024192026M02</v>
      </c>
      <c r="B718">
        <v>51321001</v>
      </c>
      <c r="C718">
        <v>10</v>
      </c>
      <c r="D718">
        <v>200200</v>
      </c>
      <c r="E718">
        <v>102419</v>
      </c>
      <c r="F718" t="s">
        <v>115</v>
      </c>
      <c r="G718" t="s">
        <v>64</v>
      </c>
      <c r="H718">
        <v>0</v>
      </c>
      <c r="I718">
        <v>0</v>
      </c>
      <c r="J718">
        <v>0</v>
      </c>
      <c r="K718">
        <v>0</v>
      </c>
      <c r="L718">
        <v>0</v>
      </c>
    </row>
    <row r="719" spans="1:12" x14ac:dyDescent="0.25">
      <c r="A719" t="str">
        <f t="shared" si="11"/>
        <v>2002001024192026M03</v>
      </c>
      <c r="B719">
        <v>51321001</v>
      </c>
      <c r="C719">
        <v>10</v>
      </c>
      <c r="D719">
        <v>200200</v>
      </c>
      <c r="E719">
        <v>102419</v>
      </c>
      <c r="F719" t="s">
        <v>115</v>
      </c>
      <c r="G719" t="s">
        <v>65</v>
      </c>
      <c r="H719">
        <v>0</v>
      </c>
      <c r="I719">
        <v>0</v>
      </c>
      <c r="J719">
        <v>0</v>
      </c>
      <c r="K719">
        <v>0</v>
      </c>
      <c r="L719">
        <v>0</v>
      </c>
    </row>
    <row r="720" spans="1:12" x14ac:dyDescent="0.25">
      <c r="A720" t="str">
        <f t="shared" si="11"/>
        <v>2002001024192026M04</v>
      </c>
      <c r="B720">
        <v>51321001</v>
      </c>
      <c r="C720">
        <v>10</v>
      </c>
      <c r="D720">
        <v>200200</v>
      </c>
      <c r="E720">
        <v>102419</v>
      </c>
      <c r="F720" t="s">
        <v>115</v>
      </c>
      <c r="G720" t="s">
        <v>66</v>
      </c>
      <c r="H720">
        <v>0</v>
      </c>
      <c r="I720">
        <v>0</v>
      </c>
      <c r="J720">
        <v>0</v>
      </c>
      <c r="K720">
        <v>0</v>
      </c>
      <c r="L720">
        <v>0</v>
      </c>
    </row>
    <row r="721" spans="1:12" x14ac:dyDescent="0.25">
      <c r="A721" t="str">
        <f t="shared" si="11"/>
        <v>2002001024192026M05</v>
      </c>
      <c r="B721">
        <v>51321001</v>
      </c>
      <c r="C721">
        <v>10</v>
      </c>
      <c r="D721">
        <v>200200</v>
      </c>
      <c r="E721">
        <v>102419</v>
      </c>
      <c r="F721" t="s">
        <v>115</v>
      </c>
      <c r="G721" t="s">
        <v>67</v>
      </c>
      <c r="H721">
        <v>19140</v>
      </c>
      <c r="I721">
        <v>19140</v>
      </c>
      <c r="J721">
        <v>0</v>
      </c>
      <c r="K721">
        <v>0</v>
      </c>
      <c r="L721">
        <v>0</v>
      </c>
    </row>
    <row r="722" spans="1:12" x14ac:dyDescent="0.25">
      <c r="A722" t="str">
        <f t="shared" si="11"/>
        <v>2002001024192026M06</v>
      </c>
      <c r="B722">
        <v>51321001</v>
      </c>
      <c r="C722">
        <v>10</v>
      </c>
      <c r="D722">
        <v>200200</v>
      </c>
      <c r="E722">
        <v>102419</v>
      </c>
      <c r="F722" t="s">
        <v>115</v>
      </c>
      <c r="G722" t="s">
        <v>68</v>
      </c>
      <c r="H722">
        <v>12760</v>
      </c>
      <c r="I722">
        <v>12760</v>
      </c>
      <c r="J722">
        <v>0</v>
      </c>
      <c r="K722">
        <v>0</v>
      </c>
      <c r="L722">
        <v>0</v>
      </c>
    </row>
    <row r="723" spans="1:12" x14ac:dyDescent="0.25">
      <c r="A723" t="str">
        <f t="shared" si="11"/>
        <v>2002001024192026M07</v>
      </c>
      <c r="B723">
        <v>51321001</v>
      </c>
      <c r="C723">
        <v>10</v>
      </c>
      <c r="D723">
        <v>200200</v>
      </c>
      <c r="E723">
        <v>102419</v>
      </c>
      <c r="F723" t="s">
        <v>115</v>
      </c>
      <c r="G723" t="s">
        <v>69</v>
      </c>
      <c r="H723">
        <v>6380</v>
      </c>
      <c r="I723">
        <v>6380</v>
      </c>
      <c r="J723">
        <v>0</v>
      </c>
      <c r="K723">
        <v>0</v>
      </c>
      <c r="L723">
        <v>0</v>
      </c>
    </row>
    <row r="724" spans="1:12" x14ac:dyDescent="0.25">
      <c r="A724" t="str">
        <f t="shared" si="11"/>
        <v>2002001024192026M08</v>
      </c>
      <c r="B724">
        <v>51321001</v>
      </c>
      <c r="C724">
        <v>10</v>
      </c>
      <c r="D724">
        <v>200200</v>
      </c>
      <c r="E724">
        <v>102419</v>
      </c>
      <c r="F724" t="s">
        <v>115</v>
      </c>
      <c r="G724" t="s">
        <v>70</v>
      </c>
      <c r="H724">
        <v>6380</v>
      </c>
      <c r="I724">
        <v>6380</v>
      </c>
      <c r="J724">
        <v>0</v>
      </c>
      <c r="K724">
        <v>0</v>
      </c>
      <c r="L724">
        <v>0</v>
      </c>
    </row>
    <row r="725" spans="1:12" x14ac:dyDescent="0.25">
      <c r="A725" t="str">
        <f t="shared" si="11"/>
        <v>2002001024192026M09</v>
      </c>
      <c r="B725">
        <v>51321001</v>
      </c>
      <c r="C725">
        <v>10</v>
      </c>
      <c r="D725">
        <v>200200</v>
      </c>
      <c r="E725">
        <v>102419</v>
      </c>
      <c r="F725" t="s">
        <v>115</v>
      </c>
      <c r="G725" t="s">
        <v>71</v>
      </c>
      <c r="H725">
        <v>6380</v>
      </c>
      <c r="I725">
        <v>6380</v>
      </c>
      <c r="J725">
        <v>0</v>
      </c>
      <c r="K725">
        <v>0</v>
      </c>
      <c r="L725">
        <v>0</v>
      </c>
    </row>
    <row r="726" spans="1:12" x14ac:dyDescent="0.25">
      <c r="A726" t="str">
        <f t="shared" si="11"/>
        <v>2002001024192026M10</v>
      </c>
      <c r="B726">
        <v>51321001</v>
      </c>
      <c r="C726">
        <v>10</v>
      </c>
      <c r="D726">
        <v>200200</v>
      </c>
      <c r="E726">
        <v>102419</v>
      </c>
      <c r="F726" t="s">
        <v>115</v>
      </c>
      <c r="G726" t="s">
        <v>72</v>
      </c>
      <c r="H726">
        <v>6380</v>
      </c>
      <c r="I726">
        <v>6380</v>
      </c>
      <c r="J726">
        <v>0</v>
      </c>
      <c r="K726">
        <v>0</v>
      </c>
      <c r="L726">
        <v>0</v>
      </c>
    </row>
    <row r="727" spans="1:12" x14ac:dyDescent="0.25">
      <c r="A727" t="str">
        <f t="shared" si="11"/>
        <v>2002001024192026M11</v>
      </c>
      <c r="B727">
        <v>51321001</v>
      </c>
      <c r="C727">
        <v>10</v>
      </c>
      <c r="D727">
        <v>200200</v>
      </c>
      <c r="E727">
        <v>102419</v>
      </c>
      <c r="F727" t="s">
        <v>115</v>
      </c>
      <c r="G727" t="s">
        <v>73</v>
      </c>
      <c r="H727">
        <v>6380</v>
      </c>
      <c r="I727">
        <v>0</v>
      </c>
      <c r="J727">
        <v>6380</v>
      </c>
      <c r="K727">
        <v>0</v>
      </c>
      <c r="L727">
        <v>0</v>
      </c>
    </row>
    <row r="728" spans="1:12" x14ac:dyDescent="0.25">
      <c r="A728" t="str">
        <f t="shared" si="11"/>
        <v>2002001024192026M12</v>
      </c>
      <c r="B728">
        <v>51321001</v>
      </c>
      <c r="C728">
        <v>10</v>
      </c>
      <c r="D728">
        <v>200200</v>
      </c>
      <c r="E728">
        <v>102419</v>
      </c>
      <c r="F728" t="s">
        <v>115</v>
      </c>
      <c r="G728" t="s">
        <v>74</v>
      </c>
      <c r="H728">
        <v>12760</v>
      </c>
      <c r="I728">
        <v>0</v>
      </c>
      <c r="J728">
        <v>12760</v>
      </c>
      <c r="K728">
        <v>0</v>
      </c>
      <c r="L728">
        <v>0</v>
      </c>
    </row>
    <row r="729" spans="1:12" x14ac:dyDescent="0.25">
      <c r="A729" t="str">
        <f t="shared" si="11"/>
        <v>2002011024102026M02</v>
      </c>
      <c r="B729">
        <v>51321001</v>
      </c>
      <c r="C729">
        <v>10</v>
      </c>
      <c r="D729">
        <v>200201</v>
      </c>
      <c r="E729">
        <v>102410</v>
      </c>
      <c r="F729" t="s">
        <v>115</v>
      </c>
      <c r="G729" t="s">
        <v>64</v>
      </c>
      <c r="H729">
        <v>0</v>
      </c>
      <c r="I729">
        <v>0</v>
      </c>
      <c r="J729">
        <v>0</v>
      </c>
      <c r="K729">
        <v>0</v>
      </c>
      <c r="L729">
        <v>0</v>
      </c>
    </row>
    <row r="730" spans="1:12" x14ac:dyDescent="0.25">
      <c r="A730" t="str">
        <f t="shared" si="11"/>
        <v>2002011024102026M03</v>
      </c>
      <c r="B730">
        <v>51321001</v>
      </c>
      <c r="C730">
        <v>10</v>
      </c>
      <c r="D730">
        <v>200201</v>
      </c>
      <c r="E730">
        <v>102410</v>
      </c>
      <c r="F730" t="s">
        <v>115</v>
      </c>
      <c r="G730" t="s">
        <v>65</v>
      </c>
      <c r="H730">
        <v>0</v>
      </c>
      <c r="I730">
        <v>0</v>
      </c>
      <c r="J730">
        <v>0</v>
      </c>
      <c r="K730">
        <v>0</v>
      </c>
      <c r="L730">
        <v>0</v>
      </c>
    </row>
    <row r="731" spans="1:12" x14ac:dyDescent="0.25">
      <c r="A731" t="str">
        <f t="shared" si="11"/>
        <v>2002011024102026M04</v>
      </c>
      <c r="B731">
        <v>51321001</v>
      </c>
      <c r="C731">
        <v>10</v>
      </c>
      <c r="D731">
        <v>200201</v>
      </c>
      <c r="E731">
        <v>102410</v>
      </c>
      <c r="F731" t="s">
        <v>115</v>
      </c>
      <c r="G731" t="s">
        <v>66</v>
      </c>
      <c r="H731">
        <v>52199.95</v>
      </c>
      <c r="I731">
        <v>52199.95</v>
      </c>
      <c r="J731">
        <v>0</v>
      </c>
      <c r="K731">
        <v>0</v>
      </c>
      <c r="L731">
        <v>0</v>
      </c>
    </row>
    <row r="732" spans="1:12" x14ac:dyDescent="0.25">
      <c r="A732" t="str">
        <f t="shared" si="11"/>
        <v>2002011024102026M05</v>
      </c>
      <c r="B732">
        <v>51321001</v>
      </c>
      <c r="C732">
        <v>10</v>
      </c>
      <c r="D732">
        <v>200201</v>
      </c>
      <c r="E732">
        <v>102410</v>
      </c>
      <c r="F732" t="s">
        <v>115</v>
      </c>
      <c r="G732" t="s">
        <v>67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 x14ac:dyDescent="0.25">
      <c r="A733" t="str">
        <f t="shared" si="11"/>
        <v>2002011024102026M06</v>
      </c>
      <c r="B733">
        <v>51321001</v>
      </c>
      <c r="C733">
        <v>10</v>
      </c>
      <c r="D733">
        <v>200201</v>
      </c>
      <c r="E733">
        <v>102410</v>
      </c>
      <c r="F733" t="s">
        <v>115</v>
      </c>
      <c r="G733" t="s">
        <v>68</v>
      </c>
      <c r="H733">
        <v>34799.980000000003</v>
      </c>
      <c r="I733">
        <v>34799.980000000003</v>
      </c>
      <c r="J733">
        <v>0</v>
      </c>
      <c r="K733">
        <v>0</v>
      </c>
      <c r="L733">
        <v>0</v>
      </c>
    </row>
    <row r="734" spans="1:12" x14ac:dyDescent="0.25">
      <c r="A734" t="str">
        <f t="shared" si="11"/>
        <v>2002011024102026M07</v>
      </c>
      <c r="B734">
        <v>51321001</v>
      </c>
      <c r="C734">
        <v>10</v>
      </c>
      <c r="D734">
        <v>200201</v>
      </c>
      <c r="E734">
        <v>102410</v>
      </c>
      <c r="F734" t="s">
        <v>115</v>
      </c>
      <c r="G734" t="s">
        <v>69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 x14ac:dyDescent="0.25">
      <c r="A735" t="str">
        <f t="shared" si="11"/>
        <v>2002011024102026M08</v>
      </c>
      <c r="B735">
        <v>51321001</v>
      </c>
      <c r="C735">
        <v>10</v>
      </c>
      <c r="D735">
        <v>200201</v>
      </c>
      <c r="E735">
        <v>102410</v>
      </c>
      <c r="F735" t="s">
        <v>115</v>
      </c>
      <c r="G735" t="s">
        <v>70</v>
      </c>
      <c r="H735">
        <v>17399.990000000002</v>
      </c>
      <c r="I735">
        <v>17399.990000000002</v>
      </c>
      <c r="J735">
        <v>0</v>
      </c>
      <c r="K735">
        <v>0</v>
      </c>
      <c r="L735">
        <v>0</v>
      </c>
    </row>
    <row r="736" spans="1:12" x14ac:dyDescent="0.25">
      <c r="A736" t="str">
        <f t="shared" si="11"/>
        <v>2002011024102026M09</v>
      </c>
      <c r="B736">
        <v>51321001</v>
      </c>
      <c r="C736">
        <v>10</v>
      </c>
      <c r="D736">
        <v>200201</v>
      </c>
      <c r="E736">
        <v>102410</v>
      </c>
      <c r="F736" t="s">
        <v>115</v>
      </c>
      <c r="G736" t="s">
        <v>71</v>
      </c>
      <c r="H736">
        <v>17399.990000000002</v>
      </c>
      <c r="I736">
        <v>17399.990000000002</v>
      </c>
      <c r="J736">
        <v>0</v>
      </c>
      <c r="K736">
        <v>0</v>
      </c>
      <c r="L736">
        <v>0</v>
      </c>
    </row>
    <row r="737" spans="1:12" x14ac:dyDescent="0.25">
      <c r="A737" t="str">
        <f t="shared" si="11"/>
        <v>2002011024102026M10</v>
      </c>
      <c r="B737">
        <v>51321001</v>
      </c>
      <c r="C737">
        <v>10</v>
      </c>
      <c r="D737">
        <v>200201</v>
      </c>
      <c r="E737">
        <v>102410</v>
      </c>
      <c r="F737" t="s">
        <v>115</v>
      </c>
      <c r="G737" t="s">
        <v>72</v>
      </c>
      <c r="H737">
        <v>34800.089999999997</v>
      </c>
      <c r="I737">
        <v>0</v>
      </c>
      <c r="J737">
        <v>34800.089999999997</v>
      </c>
      <c r="K737">
        <v>0</v>
      </c>
      <c r="L737">
        <v>0</v>
      </c>
    </row>
    <row r="738" spans="1:12" x14ac:dyDescent="0.25">
      <c r="A738" t="str">
        <f t="shared" si="11"/>
        <v>2002011024102026M11</v>
      </c>
      <c r="B738">
        <v>51321001</v>
      </c>
      <c r="C738">
        <v>10</v>
      </c>
      <c r="D738">
        <v>200201</v>
      </c>
      <c r="E738">
        <v>102410</v>
      </c>
      <c r="F738" t="s">
        <v>115</v>
      </c>
      <c r="G738" t="s">
        <v>73</v>
      </c>
      <c r="H738">
        <v>17400</v>
      </c>
      <c r="I738">
        <v>0</v>
      </c>
      <c r="J738">
        <v>17400</v>
      </c>
      <c r="K738">
        <v>0</v>
      </c>
      <c r="L738">
        <v>0</v>
      </c>
    </row>
    <row r="739" spans="1:12" x14ac:dyDescent="0.25">
      <c r="A739" t="str">
        <f t="shared" si="11"/>
        <v>2002011024102026M12</v>
      </c>
      <c r="B739">
        <v>51321001</v>
      </c>
      <c r="C739">
        <v>10</v>
      </c>
      <c r="D739">
        <v>200201</v>
      </c>
      <c r="E739">
        <v>102410</v>
      </c>
      <c r="F739" t="s">
        <v>115</v>
      </c>
      <c r="G739" t="s">
        <v>74</v>
      </c>
      <c r="H739">
        <v>34800</v>
      </c>
      <c r="I739">
        <v>0</v>
      </c>
      <c r="J739">
        <v>34800</v>
      </c>
      <c r="K739">
        <v>0</v>
      </c>
      <c r="L739">
        <v>0</v>
      </c>
    </row>
    <row r="740" spans="1:12" x14ac:dyDescent="0.25">
      <c r="A740" t="str">
        <f t="shared" si="11"/>
        <v>3802001059022026M02</v>
      </c>
      <c r="B740">
        <v>51321001</v>
      </c>
      <c r="C740">
        <v>10</v>
      </c>
      <c r="D740">
        <v>380200</v>
      </c>
      <c r="E740">
        <v>105902</v>
      </c>
      <c r="F740" t="s">
        <v>115</v>
      </c>
      <c r="G740" t="s">
        <v>64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 x14ac:dyDescent="0.25">
      <c r="A741" t="str">
        <f t="shared" si="11"/>
        <v>3802001059022026M03</v>
      </c>
      <c r="B741">
        <v>51321001</v>
      </c>
      <c r="C741">
        <v>10</v>
      </c>
      <c r="D741">
        <v>380200</v>
      </c>
      <c r="E741">
        <v>105902</v>
      </c>
      <c r="F741" t="s">
        <v>115</v>
      </c>
      <c r="G741" t="s">
        <v>65</v>
      </c>
      <c r="H741">
        <v>0</v>
      </c>
      <c r="I741">
        <v>0</v>
      </c>
      <c r="J741">
        <v>0</v>
      </c>
      <c r="K741">
        <v>0</v>
      </c>
      <c r="L741">
        <v>0</v>
      </c>
    </row>
    <row r="742" spans="1:12" x14ac:dyDescent="0.25">
      <c r="A742" t="str">
        <f t="shared" si="11"/>
        <v>3802001059022026M04</v>
      </c>
      <c r="B742">
        <v>51321001</v>
      </c>
      <c r="C742">
        <v>10</v>
      </c>
      <c r="D742">
        <v>380200</v>
      </c>
      <c r="E742">
        <v>105902</v>
      </c>
      <c r="F742" t="s">
        <v>115</v>
      </c>
      <c r="G742" t="s">
        <v>66</v>
      </c>
      <c r="H742">
        <v>0</v>
      </c>
      <c r="I742">
        <v>0</v>
      </c>
      <c r="J742">
        <v>0</v>
      </c>
      <c r="K742">
        <v>0</v>
      </c>
      <c r="L742">
        <v>0</v>
      </c>
    </row>
    <row r="743" spans="1:12" x14ac:dyDescent="0.25">
      <c r="A743" t="str">
        <f t="shared" si="11"/>
        <v>3802001059022026M05</v>
      </c>
      <c r="B743">
        <v>51321001</v>
      </c>
      <c r="C743">
        <v>10</v>
      </c>
      <c r="D743">
        <v>380200</v>
      </c>
      <c r="E743">
        <v>105902</v>
      </c>
      <c r="F743" t="s">
        <v>115</v>
      </c>
      <c r="G743" t="s">
        <v>67</v>
      </c>
      <c r="H743">
        <v>162399.89000000001</v>
      </c>
      <c r="I743">
        <v>162399.89000000001</v>
      </c>
      <c r="J743">
        <v>0</v>
      </c>
      <c r="K743">
        <v>0</v>
      </c>
      <c r="L743">
        <v>0</v>
      </c>
    </row>
    <row r="744" spans="1:12" x14ac:dyDescent="0.25">
      <c r="A744" t="str">
        <f t="shared" si="11"/>
        <v>3802001059022026M06</v>
      </c>
      <c r="B744">
        <v>51321001</v>
      </c>
      <c r="C744">
        <v>10</v>
      </c>
      <c r="D744">
        <v>380200</v>
      </c>
      <c r="E744">
        <v>105902</v>
      </c>
      <c r="F744" t="s">
        <v>115</v>
      </c>
      <c r="G744" t="s">
        <v>68</v>
      </c>
      <c r="H744">
        <v>40599.97</v>
      </c>
      <c r="I744">
        <v>40599.97</v>
      </c>
      <c r="J744">
        <v>0</v>
      </c>
      <c r="K744">
        <v>0</v>
      </c>
      <c r="L744">
        <v>0</v>
      </c>
    </row>
    <row r="745" spans="1:12" x14ac:dyDescent="0.25">
      <c r="A745" t="str">
        <f t="shared" si="11"/>
        <v>3802001059022026M07</v>
      </c>
      <c r="B745">
        <v>51321001</v>
      </c>
      <c r="C745">
        <v>10</v>
      </c>
      <c r="D745">
        <v>380200</v>
      </c>
      <c r="E745">
        <v>105902</v>
      </c>
      <c r="F745" t="s">
        <v>115</v>
      </c>
      <c r="G745" t="s">
        <v>69</v>
      </c>
      <c r="H745">
        <v>40599.97</v>
      </c>
      <c r="I745">
        <v>40599.97</v>
      </c>
      <c r="J745">
        <v>0</v>
      </c>
      <c r="K745">
        <v>0</v>
      </c>
      <c r="L745">
        <v>0</v>
      </c>
    </row>
    <row r="746" spans="1:12" x14ac:dyDescent="0.25">
      <c r="A746" t="str">
        <f t="shared" si="11"/>
        <v>3802001059022026M08</v>
      </c>
      <c r="B746">
        <v>51321001</v>
      </c>
      <c r="C746">
        <v>10</v>
      </c>
      <c r="D746">
        <v>380200</v>
      </c>
      <c r="E746">
        <v>105902</v>
      </c>
      <c r="F746" t="s">
        <v>115</v>
      </c>
      <c r="G746" t="s">
        <v>70</v>
      </c>
      <c r="H746">
        <v>40599.97</v>
      </c>
      <c r="I746">
        <v>40599.97</v>
      </c>
      <c r="J746">
        <v>0</v>
      </c>
      <c r="K746">
        <v>0</v>
      </c>
      <c r="L746">
        <v>0</v>
      </c>
    </row>
    <row r="747" spans="1:12" x14ac:dyDescent="0.25">
      <c r="A747" t="str">
        <f t="shared" si="11"/>
        <v>3802001059022026M09</v>
      </c>
      <c r="B747">
        <v>51321001</v>
      </c>
      <c r="C747">
        <v>10</v>
      </c>
      <c r="D747">
        <v>380200</v>
      </c>
      <c r="E747">
        <v>105902</v>
      </c>
      <c r="F747" t="s">
        <v>115</v>
      </c>
      <c r="G747" t="s">
        <v>71</v>
      </c>
      <c r="H747">
        <v>40599.97</v>
      </c>
      <c r="I747">
        <v>40599.97</v>
      </c>
      <c r="J747">
        <v>0</v>
      </c>
      <c r="K747">
        <v>0</v>
      </c>
      <c r="L747">
        <v>0</v>
      </c>
    </row>
    <row r="748" spans="1:12" x14ac:dyDescent="0.25">
      <c r="A748" t="str">
        <f t="shared" si="11"/>
        <v>3802001059022026M10</v>
      </c>
      <c r="B748">
        <v>51321001</v>
      </c>
      <c r="C748">
        <v>10</v>
      </c>
      <c r="D748">
        <v>380200</v>
      </c>
      <c r="E748">
        <v>105902</v>
      </c>
      <c r="F748" t="s">
        <v>115</v>
      </c>
      <c r="G748" t="s">
        <v>72</v>
      </c>
      <c r="H748">
        <v>40609.230000000003</v>
      </c>
      <c r="I748">
        <v>40599.97</v>
      </c>
      <c r="J748">
        <v>9.26</v>
      </c>
      <c r="K748">
        <v>0</v>
      </c>
      <c r="L748">
        <v>0</v>
      </c>
    </row>
    <row r="749" spans="1:12" x14ac:dyDescent="0.25">
      <c r="A749" t="str">
        <f t="shared" si="11"/>
        <v>3802001059022026M11</v>
      </c>
      <c r="B749">
        <v>51321001</v>
      </c>
      <c r="C749">
        <v>10</v>
      </c>
      <c r="D749">
        <v>380200</v>
      </c>
      <c r="E749">
        <v>105902</v>
      </c>
      <c r="F749" t="s">
        <v>115</v>
      </c>
      <c r="G749" t="s">
        <v>73</v>
      </c>
      <c r="H749">
        <v>40601</v>
      </c>
      <c r="I749">
        <v>0</v>
      </c>
      <c r="J749">
        <v>40601</v>
      </c>
      <c r="K749">
        <v>0</v>
      </c>
      <c r="L749">
        <v>0</v>
      </c>
    </row>
    <row r="750" spans="1:12" x14ac:dyDescent="0.25">
      <c r="A750" t="str">
        <f t="shared" si="11"/>
        <v>3802001059022026M12</v>
      </c>
      <c r="B750">
        <v>51321001</v>
      </c>
      <c r="C750">
        <v>10</v>
      </c>
      <c r="D750">
        <v>380200</v>
      </c>
      <c r="E750">
        <v>105902</v>
      </c>
      <c r="F750" t="s">
        <v>115</v>
      </c>
      <c r="G750" t="s">
        <v>74</v>
      </c>
      <c r="H750">
        <v>81202</v>
      </c>
      <c r="I750">
        <v>0</v>
      </c>
      <c r="J750">
        <v>81190</v>
      </c>
      <c r="K750">
        <v>0</v>
      </c>
      <c r="L750">
        <v>12</v>
      </c>
    </row>
    <row r="751" spans="1:12" x14ac:dyDescent="0.25">
      <c r="A751" t="str">
        <f t="shared" si="11"/>
        <v>9001101091012026M02</v>
      </c>
      <c r="B751">
        <v>51321001</v>
      </c>
      <c r="C751">
        <v>10</v>
      </c>
      <c r="D751">
        <v>900110</v>
      </c>
      <c r="E751">
        <v>109101</v>
      </c>
      <c r="F751" t="s">
        <v>115</v>
      </c>
      <c r="G751" t="s">
        <v>64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25">
      <c r="A752" t="str">
        <f t="shared" si="11"/>
        <v>9001101091012026M03</v>
      </c>
      <c r="B752">
        <v>51321001</v>
      </c>
      <c r="C752">
        <v>10</v>
      </c>
      <c r="D752">
        <v>900110</v>
      </c>
      <c r="E752">
        <v>109101</v>
      </c>
      <c r="F752" t="s">
        <v>115</v>
      </c>
      <c r="G752" t="s">
        <v>65</v>
      </c>
      <c r="H752">
        <v>0</v>
      </c>
      <c r="I752">
        <v>0</v>
      </c>
      <c r="J752">
        <v>0</v>
      </c>
      <c r="K752">
        <v>0</v>
      </c>
      <c r="L752">
        <v>0</v>
      </c>
    </row>
    <row r="753" spans="1:12" x14ac:dyDescent="0.25">
      <c r="A753" t="str">
        <f t="shared" si="11"/>
        <v>9001101091012026M04</v>
      </c>
      <c r="B753">
        <v>51321001</v>
      </c>
      <c r="C753">
        <v>10</v>
      </c>
      <c r="D753">
        <v>900110</v>
      </c>
      <c r="E753">
        <v>109101</v>
      </c>
      <c r="F753" t="s">
        <v>115</v>
      </c>
      <c r="G753" t="s">
        <v>66</v>
      </c>
      <c r="H753">
        <v>872122.81</v>
      </c>
      <c r="I753">
        <v>872122.81</v>
      </c>
      <c r="J753">
        <v>0</v>
      </c>
      <c r="K753">
        <v>0</v>
      </c>
      <c r="L753">
        <v>0</v>
      </c>
    </row>
    <row r="754" spans="1:12" x14ac:dyDescent="0.25">
      <c r="A754" t="str">
        <f t="shared" si="11"/>
        <v>9001101091012026M05</v>
      </c>
      <c r="B754">
        <v>51321001</v>
      </c>
      <c r="C754">
        <v>10</v>
      </c>
      <c r="D754">
        <v>900110</v>
      </c>
      <c r="E754">
        <v>109101</v>
      </c>
      <c r="F754" t="s">
        <v>115</v>
      </c>
      <c r="G754" t="s">
        <v>67</v>
      </c>
      <c r="H754">
        <v>290707.61</v>
      </c>
      <c r="I754">
        <v>290707.61</v>
      </c>
      <c r="J754">
        <v>0</v>
      </c>
      <c r="K754">
        <v>0</v>
      </c>
      <c r="L754">
        <v>0</v>
      </c>
    </row>
    <row r="755" spans="1:12" x14ac:dyDescent="0.25">
      <c r="A755" t="str">
        <f t="shared" si="11"/>
        <v>9001101091012026M06</v>
      </c>
      <c r="B755">
        <v>51321001</v>
      </c>
      <c r="C755">
        <v>10</v>
      </c>
      <c r="D755">
        <v>900110</v>
      </c>
      <c r="E755">
        <v>109101</v>
      </c>
      <c r="F755" t="s">
        <v>115</v>
      </c>
      <c r="G755" t="s">
        <v>68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x14ac:dyDescent="0.25">
      <c r="A756" t="str">
        <f t="shared" si="11"/>
        <v>9001101091012026M07</v>
      </c>
      <c r="B756">
        <v>51321001</v>
      </c>
      <c r="C756">
        <v>10</v>
      </c>
      <c r="D756">
        <v>900110</v>
      </c>
      <c r="E756">
        <v>109101</v>
      </c>
      <c r="F756" t="s">
        <v>115</v>
      </c>
      <c r="G756" t="s">
        <v>69</v>
      </c>
      <c r="H756">
        <v>581415.22</v>
      </c>
      <c r="I756">
        <v>581415.22</v>
      </c>
      <c r="J756">
        <v>0</v>
      </c>
      <c r="K756">
        <v>0</v>
      </c>
      <c r="L756">
        <v>0</v>
      </c>
    </row>
    <row r="757" spans="1:12" x14ac:dyDescent="0.25">
      <c r="A757" t="str">
        <f t="shared" si="11"/>
        <v>9001101091012026M08</v>
      </c>
      <c r="B757">
        <v>51321001</v>
      </c>
      <c r="C757">
        <v>10</v>
      </c>
      <c r="D757">
        <v>900110</v>
      </c>
      <c r="E757">
        <v>109101</v>
      </c>
      <c r="F757" t="s">
        <v>115</v>
      </c>
      <c r="G757" t="s">
        <v>70</v>
      </c>
      <c r="H757">
        <v>290707.61</v>
      </c>
      <c r="I757">
        <v>290707.61</v>
      </c>
      <c r="J757">
        <v>0</v>
      </c>
      <c r="K757">
        <v>0</v>
      </c>
      <c r="L757">
        <v>0</v>
      </c>
    </row>
    <row r="758" spans="1:12" x14ac:dyDescent="0.25">
      <c r="A758" t="str">
        <f t="shared" si="11"/>
        <v>9001101091012026M09</v>
      </c>
      <c r="B758">
        <v>51321001</v>
      </c>
      <c r="C758">
        <v>10</v>
      </c>
      <c r="D758">
        <v>900110</v>
      </c>
      <c r="E758">
        <v>109101</v>
      </c>
      <c r="F758" t="s">
        <v>115</v>
      </c>
      <c r="G758" t="s">
        <v>71</v>
      </c>
      <c r="H758">
        <v>290707.61</v>
      </c>
      <c r="I758">
        <v>290707.61</v>
      </c>
      <c r="J758">
        <v>0</v>
      </c>
      <c r="K758">
        <v>0</v>
      </c>
      <c r="L758">
        <v>0</v>
      </c>
    </row>
    <row r="759" spans="1:12" x14ac:dyDescent="0.25">
      <c r="A759" t="str">
        <f t="shared" si="11"/>
        <v>9001101091012026M10</v>
      </c>
      <c r="B759">
        <v>51321001</v>
      </c>
      <c r="C759">
        <v>10</v>
      </c>
      <c r="D759">
        <v>900110</v>
      </c>
      <c r="E759">
        <v>109101</v>
      </c>
      <c r="F759" t="s">
        <v>115</v>
      </c>
      <c r="G759" t="s">
        <v>72</v>
      </c>
      <c r="H759">
        <v>291989.14</v>
      </c>
      <c r="I759">
        <v>290707.61</v>
      </c>
      <c r="J759">
        <v>1281.53</v>
      </c>
      <c r="K759">
        <v>0</v>
      </c>
      <c r="L759">
        <v>0</v>
      </c>
    </row>
    <row r="760" spans="1:12" x14ac:dyDescent="0.25">
      <c r="A760" t="str">
        <f t="shared" si="11"/>
        <v>9001101091012026M11</v>
      </c>
      <c r="B760">
        <v>51321001</v>
      </c>
      <c r="C760">
        <v>10</v>
      </c>
      <c r="D760">
        <v>900110</v>
      </c>
      <c r="E760">
        <v>109101</v>
      </c>
      <c r="F760" t="s">
        <v>115</v>
      </c>
      <c r="G760" t="s">
        <v>73</v>
      </c>
      <c r="H760">
        <v>290850</v>
      </c>
      <c r="I760">
        <v>0</v>
      </c>
      <c r="J760">
        <v>290850</v>
      </c>
      <c r="K760">
        <v>0</v>
      </c>
      <c r="L760">
        <v>0</v>
      </c>
    </row>
    <row r="761" spans="1:12" x14ac:dyDescent="0.25">
      <c r="A761" t="str">
        <f t="shared" si="11"/>
        <v>9001101091012026M12</v>
      </c>
      <c r="B761">
        <v>51321001</v>
      </c>
      <c r="C761">
        <v>10</v>
      </c>
      <c r="D761">
        <v>900110</v>
      </c>
      <c r="E761">
        <v>109101</v>
      </c>
      <c r="F761" t="s">
        <v>115</v>
      </c>
      <c r="G761" t="s">
        <v>74</v>
      </c>
      <c r="H761">
        <v>579991.19999999995</v>
      </c>
      <c r="I761">
        <v>0</v>
      </c>
      <c r="J761">
        <v>579991.19999999995</v>
      </c>
      <c r="K761">
        <v>0</v>
      </c>
      <c r="L761">
        <v>0</v>
      </c>
    </row>
    <row r="762" spans="1:12" x14ac:dyDescent="0.25">
      <c r="A762" t="str">
        <f t="shared" si="11"/>
        <v>1509041181012026M02</v>
      </c>
      <c r="B762">
        <v>51321001</v>
      </c>
      <c r="C762">
        <v>11</v>
      </c>
      <c r="D762">
        <v>150904</v>
      </c>
      <c r="E762">
        <v>118101</v>
      </c>
      <c r="F762" t="s">
        <v>115</v>
      </c>
      <c r="G762" t="s">
        <v>64</v>
      </c>
      <c r="H762">
        <v>0</v>
      </c>
      <c r="I762">
        <v>0</v>
      </c>
      <c r="J762">
        <v>0</v>
      </c>
      <c r="K762">
        <v>0</v>
      </c>
      <c r="L762">
        <v>0</v>
      </c>
    </row>
    <row r="763" spans="1:12" x14ac:dyDescent="0.25">
      <c r="A763" t="str">
        <f t="shared" si="11"/>
        <v>1509041181012026M03</v>
      </c>
      <c r="B763">
        <v>51321001</v>
      </c>
      <c r="C763">
        <v>11</v>
      </c>
      <c r="D763">
        <v>150904</v>
      </c>
      <c r="E763">
        <v>118101</v>
      </c>
      <c r="F763" t="s">
        <v>115</v>
      </c>
      <c r="G763" t="s">
        <v>65</v>
      </c>
      <c r="H763">
        <v>208800</v>
      </c>
      <c r="I763">
        <v>208800</v>
      </c>
      <c r="J763">
        <v>0</v>
      </c>
      <c r="K763">
        <v>0</v>
      </c>
      <c r="L763">
        <v>0</v>
      </c>
    </row>
    <row r="764" spans="1:12" x14ac:dyDescent="0.25">
      <c r="A764" t="str">
        <f t="shared" si="11"/>
        <v>1509041181012026M04</v>
      </c>
      <c r="B764">
        <v>51321001</v>
      </c>
      <c r="C764">
        <v>11</v>
      </c>
      <c r="D764">
        <v>150904</v>
      </c>
      <c r="E764">
        <v>118101</v>
      </c>
      <c r="F764" t="s">
        <v>115</v>
      </c>
      <c r="G764" t="s">
        <v>66</v>
      </c>
      <c r="H764">
        <v>0</v>
      </c>
      <c r="I764">
        <v>0</v>
      </c>
      <c r="J764">
        <v>0</v>
      </c>
      <c r="K764">
        <v>0</v>
      </c>
      <c r="L764">
        <v>0</v>
      </c>
    </row>
    <row r="765" spans="1:12" x14ac:dyDescent="0.25">
      <c r="A765" t="str">
        <f t="shared" si="11"/>
        <v>1509041181012026M05</v>
      </c>
      <c r="B765">
        <v>51321001</v>
      </c>
      <c r="C765">
        <v>11</v>
      </c>
      <c r="D765">
        <v>150904</v>
      </c>
      <c r="E765">
        <v>118101</v>
      </c>
      <c r="F765" t="s">
        <v>115</v>
      </c>
      <c r="G765" t="s">
        <v>67</v>
      </c>
      <c r="H765">
        <v>208800</v>
      </c>
      <c r="I765">
        <v>208800</v>
      </c>
      <c r="J765">
        <v>0</v>
      </c>
      <c r="K765">
        <v>0</v>
      </c>
      <c r="L765">
        <v>0</v>
      </c>
    </row>
    <row r="766" spans="1:12" x14ac:dyDescent="0.25">
      <c r="A766" t="str">
        <f t="shared" si="11"/>
        <v>1509041181012026M06</v>
      </c>
      <c r="B766">
        <v>51321001</v>
      </c>
      <c r="C766">
        <v>11</v>
      </c>
      <c r="D766">
        <v>150904</v>
      </c>
      <c r="E766">
        <v>118101</v>
      </c>
      <c r="F766" t="s">
        <v>115</v>
      </c>
      <c r="G766" t="s">
        <v>68</v>
      </c>
      <c r="H766">
        <v>104400</v>
      </c>
      <c r="I766">
        <v>104400</v>
      </c>
      <c r="J766">
        <v>0</v>
      </c>
      <c r="K766">
        <v>0</v>
      </c>
      <c r="L766">
        <v>0</v>
      </c>
    </row>
    <row r="767" spans="1:12" x14ac:dyDescent="0.25">
      <c r="A767" t="str">
        <f t="shared" si="11"/>
        <v>1509041181012026M07</v>
      </c>
      <c r="B767">
        <v>51321001</v>
      </c>
      <c r="C767">
        <v>11</v>
      </c>
      <c r="D767">
        <v>150904</v>
      </c>
      <c r="E767">
        <v>118101</v>
      </c>
      <c r="F767" t="s">
        <v>115</v>
      </c>
      <c r="G767" t="s">
        <v>69</v>
      </c>
      <c r="H767">
        <v>104400</v>
      </c>
      <c r="I767">
        <v>104400</v>
      </c>
      <c r="J767">
        <v>0</v>
      </c>
      <c r="K767">
        <v>0</v>
      </c>
      <c r="L767">
        <v>0</v>
      </c>
    </row>
    <row r="768" spans="1:12" x14ac:dyDescent="0.25">
      <c r="A768" t="str">
        <f t="shared" si="11"/>
        <v>1509041181012026M08</v>
      </c>
      <c r="B768">
        <v>51321001</v>
      </c>
      <c r="C768">
        <v>11</v>
      </c>
      <c r="D768">
        <v>150904</v>
      </c>
      <c r="E768">
        <v>118101</v>
      </c>
      <c r="F768" t="s">
        <v>115</v>
      </c>
      <c r="G768" t="s">
        <v>70</v>
      </c>
      <c r="H768">
        <v>104400</v>
      </c>
      <c r="I768">
        <v>104400</v>
      </c>
      <c r="J768">
        <v>0</v>
      </c>
      <c r="K768">
        <v>0</v>
      </c>
      <c r="L768">
        <v>0</v>
      </c>
    </row>
    <row r="769" spans="1:12" x14ac:dyDescent="0.25">
      <c r="A769" t="str">
        <f t="shared" si="11"/>
        <v>1509041181012026M09</v>
      </c>
      <c r="B769">
        <v>51321001</v>
      </c>
      <c r="C769">
        <v>11</v>
      </c>
      <c r="D769">
        <v>150904</v>
      </c>
      <c r="E769">
        <v>118101</v>
      </c>
      <c r="F769" t="s">
        <v>115</v>
      </c>
      <c r="G769" t="s">
        <v>71</v>
      </c>
      <c r="H769">
        <v>104400</v>
      </c>
      <c r="I769">
        <v>104400</v>
      </c>
      <c r="J769">
        <v>0</v>
      </c>
      <c r="K769">
        <v>0</v>
      </c>
      <c r="L769">
        <v>0</v>
      </c>
    </row>
    <row r="770" spans="1:12" x14ac:dyDescent="0.25">
      <c r="A770" t="str">
        <f t="shared" si="11"/>
        <v>1509041181012026M10</v>
      </c>
      <c r="B770">
        <v>51321001</v>
      </c>
      <c r="C770">
        <v>11</v>
      </c>
      <c r="D770">
        <v>150904</v>
      </c>
      <c r="E770">
        <v>118101</v>
      </c>
      <c r="F770" t="s">
        <v>115</v>
      </c>
      <c r="G770" t="s">
        <v>72</v>
      </c>
      <c r="H770">
        <v>104400</v>
      </c>
      <c r="I770">
        <v>0</v>
      </c>
      <c r="J770">
        <v>104400</v>
      </c>
      <c r="K770">
        <v>0</v>
      </c>
      <c r="L770">
        <v>0</v>
      </c>
    </row>
    <row r="771" spans="1:12" x14ac:dyDescent="0.25">
      <c r="A771" t="str">
        <f t="shared" si="11"/>
        <v>1509041181012026M11</v>
      </c>
      <c r="B771">
        <v>51321001</v>
      </c>
      <c r="C771">
        <v>11</v>
      </c>
      <c r="D771">
        <v>150904</v>
      </c>
      <c r="E771">
        <v>118101</v>
      </c>
      <c r="F771" t="s">
        <v>115</v>
      </c>
      <c r="G771" t="s">
        <v>73</v>
      </c>
      <c r="H771">
        <v>104400</v>
      </c>
      <c r="I771">
        <v>0</v>
      </c>
      <c r="J771">
        <v>104400</v>
      </c>
      <c r="K771">
        <v>0</v>
      </c>
      <c r="L771">
        <v>0</v>
      </c>
    </row>
    <row r="772" spans="1:12" x14ac:dyDescent="0.25">
      <c r="A772" t="str">
        <f t="shared" si="11"/>
        <v>1509041181012026M12</v>
      </c>
      <c r="B772">
        <v>51321001</v>
      </c>
      <c r="C772">
        <v>11</v>
      </c>
      <c r="D772">
        <v>150904</v>
      </c>
      <c r="E772">
        <v>118101</v>
      </c>
      <c r="F772" t="s">
        <v>115</v>
      </c>
      <c r="G772" t="s">
        <v>74</v>
      </c>
      <c r="H772">
        <v>208800</v>
      </c>
      <c r="I772">
        <v>0</v>
      </c>
      <c r="J772">
        <v>208800</v>
      </c>
      <c r="K772">
        <v>0</v>
      </c>
      <c r="L772">
        <v>0</v>
      </c>
    </row>
    <row r="773" spans="1:12" x14ac:dyDescent="0.25">
      <c r="A773" t="str">
        <f t="shared" si="11"/>
        <v>2002011124082026M02</v>
      </c>
      <c r="B773">
        <v>51321001</v>
      </c>
      <c r="C773">
        <v>11</v>
      </c>
      <c r="D773">
        <v>200201</v>
      </c>
      <c r="E773">
        <v>112408</v>
      </c>
      <c r="F773" t="s">
        <v>115</v>
      </c>
      <c r="G773" t="s">
        <v>64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5">
      <c r="A774" t="str">
        <f t="shared" si="11"/>
        <v>2002011124082026M03</v>
      </c>
      <c r="B774">
        <v>51321001</v>
      </c>
      <c r="C774">
        <v>11</v>
      </c>
      <c r="D774">
        <v>200201</v>
      </c>
      <c r="E774">
        <v>112408</v>
      </c>
      <c r="F774" t="s">
        <v>115</v>
      </c>
      <c r="G774" t="s">
        <v>65</v>
      </c>
      <c r="H774">
        <v>182120</v>
      </c>
      <c r="I774">
        <v>182120</v>
      </c>
      <c r="J774">
        <v>0</v>
      </c>
      <c r="K774">
        <v>0</v>
      </c>
      <c r="L774">
        <v>0</v>
      </c>
    </row>
    <row r="775" spans="1:12" x14ac:dyDescent="0.25">
      <c r="A775" t="str">
        <f t="shared" si="11"/>
        <v>2002011124082026M04</v>
      </c>
      <c r="B775">
        <v>51321001</v>
      </c>
      <c r="C775">
        <v>11</v>
      </c>
      <c r="D775">
        <v>200201</v>
      </c>
      <c r="E775">
        <v>112408</v>
      </c>
      <c r="F775" t="s">
        <v>115</v>
      </c>
      <c r="G775" t="s">
        <v>66</v>
      </c>
      <c r="H775">
        <v>91060</v>
      </c>
      <c r="I775">
        <v>91060</v>
      </c>
      <c r="J775">
        <v>0</v>
      </c>
      <c r="K775">
        <v>0</v>
      </c>
      <c r="L775">
        <v>0</v>
      </c>
    </row>
    <row r="776" spans="1:12" x14ac:dyDescent="0.25">
      <c r="A776" t="str">
        <f t="shared" si="11"/>
        <v>2002011124082026M05</v>
      </c>
      <c r="B776">
        <v>51321001</v>
      </c>
      <c r="C776">
        <v>11</v>
      </c>
      <c r="D776">
        <v>200201</v>
      </c>
      <c r="E776">
        <v>112408</v>
      </c>
      <c r="F776" t="s">
        <v>115</v>
      </c>
      <c r="G776" t="s">
        <v>67</v>
      </c>
      <c r="H776">
        <v>91060</v>
      </c>
      <c r="I776">
        <v>91060</v>
      </c>
      <c r="J776">
        <v>0</v>
      </c>
      <c r="K776">
        <v>0</v>
      </c>
      <c r="L776">
        <v>0</v>
      </c>
    </row>
    <row r="777" spans="1:12" x14ac:dyDescent="0.25">
      <c r="A777" t="str">
        <f t="shared" si="11"/>
        <v>2002011124082026M06</v>
      </c>
      <c r="B777">
        <v>51321001</v>
      </c>
      <c r="C777">
        <v>11</v>
      </c>
      <c r="D777">
        <v>200201</v>
      </c>
      <c r="E777">
        <v>112408</v>
      </c>
      <c r="F777" t="s">
        <v>115</v>
      </c>
      <c r="G777" t="s">
        <v>68</v>
      </c>
      <c r="H777">
        <v>91060</v>
      </c>
      <c r="I777">
        <v>91060</v>
      </c>
      <c r="J777">
        <v>0</v>
      </c>
      <c r="K777">
        <v>0</v>
      </c>
      <c r="L777">
        <v>0</v>
      </c>
    </row>
    <row r="778" spans="1:12" x14ac:dyDescent="0.25">
      <c r="A778" t="str">
        <f t="shared" si="11"/>
        <v>2002011124082026M07</v>
      </c>
      <c r="B778">
        <v>51321001</v>
      </c>
      <c r="C778">
        <v>11</v>
      </c>
      <c r="D778">
        <v>200201</v>
      </c>
      <c r="E778">
        <v>112408</v>
      </c>
      <c r="F778" t="s">
        <v>115</v>
      </c>
      <c r="G778" t="s">
        <v>69</v>
      </c>
      <c r="H778">
        <v>91060</v>
      </c>
      <c r="I778">
        <v>91060</v>
      </c>
      <c r="J778">
        <v>0</v>
      </c>
      <c r="K778">
        <v>0</v>
      </c>
      <c r="L778">
        <v>0</v>
      </c>
    </row>
    <row r="779" spans="1:12" x14ac:dyDescent="0.25">
      <c r="A779" t="str">
        <f t="shared" ref="A779:A842" si="12">D779&amp;E779&amp;G779</f>
        <v>2002011124082026M08</v>
      </c>
      <c r="B779">
        <v>51321001</v>
      </c>
      <c r="C779">
        <v>11</v>
      </c>
      <c r="D779">
        <v>200201</v>
      </c>
      <c r="E779">
        <v>112408</v>
      </c>
      <c r="F779" t="s">
        <v>115</v>
      </c>
      <c r="G779" t="s">
        <v>70</v>
      </c>
      <c r="H779">
        <v>91060</v>
      </c>
      <c r="I779">
        <v>91060</v>
      </c>
      <c r="J779">
        <v>0</v>
      </c>
      <c r="K779">
        <v>0</v>
      </c>
      <c r="L779">
        <v>0</v>
      </c>
    </row>
    <row r="780" spans="1:12" x14ac:dyDescent="0.25">
      <c r="A780" t="str">
        <f t="shared" si="12"/>
        <v>2002011124082026M09</v>
      </c>
      <c r="B780">
        <v>51321001</v>
      </c>
      <c r="C780">
        <v>11</v>
      </c>
      <c r="D780">
        <v>200201</v>
      </c>
      <c r="E780">
        <v>112408</v>
      </c>
      <c r="F780" t="s">
        <v>115</v>
      </c>
      <c r="G780" t="s">
        <v>71</v>
      </c>
      <c r="H780">
        <v>91060</v>
      </c>
      <c r="I780">
        <v>91060</v>
      </c>
      <c r="J780">
        <v>0</v>
      </c>
      <c r="K780">
        <v>0</v>
      </c>
      <c r="L780">
        <v>0</v>
      </c>
    </row>
    <row r="781" spans="1:12" x14ac:dyDescent="0.25">
      <c r="A781" t="str">
        <f t="shared" si="12"/>
        <v>2002011124082026M10</v>
      </c>
      <c r="B781">
        <v>51321001</v>
      </c>
      <c r="C781">
        <v>11</v>
      </c>
      <c r="D781">
        <v>200201</v>
      </c>
      <c r="E781">
        <v>112408</v>
      </c>
      <c r="F781" t="s">
        <v>115</v>
      </c>
      <c r="G781" t="s">
        <v>72</v>
      </c>
      <c r="H781">
        <v>91060</v>
      </c>
      <c r="I781">
        <v>0</v>
      </c>
      <c r="J781">
        <v>91060</v>
      </c>
      <c r="K781">
        <v>0</v>
      </c>
      <c r="L781">
        <v>0</v>
      </c>
    </row>
    <row r="782" spans="1:12" x14ac:dyDescent="0.25">
      <c r="A782" t="str">
        <f t="shared" si="12"/>
        <v>2002011124082026M11</v>
      </c>
      <c r="B782">
        <v>51321001</v>
      </c>
      <c r="C782">
        <v>11</v>
      </c>
      <c r="D782">
        <v>200201</v>
      </c>
      <c r="E782">
        <v>112408</v>
      </c>
      <c r="F782" t="s">
        <v>115</v>
      </c>
      <c r="G782" t="s">
        <v>73</v>
      </c>
      <c r="H782">
        <v>91060</v>
      </c>
      <c r="I782">
        <v>0</v>
      </c>
      <c r="J782">
        <v>91060</v>
      </c>
      <c r="K782">
        <v>0</v>
      </c>
      <c r="L782">
        <v>0</v>
      </c>
    </row>
    <row r="783" spans="1:12" x14ac:dyDescent="0.25">
      <c r="A783" t="str">
        <f t="shared" si="12"/>
        <v>2002011124082026M12</v>
      </c>
      <c r="B783">
        <v>51321001</v>
      </c>
      <c r="C783">
        <v>11</v>
      </c>
      <c r="D783">
        <v>200201</v>
      </c>
      <c r="E783">
        <v>112408</v>
      </c>
      <c r="F783" t="s">
        <v>115</v>
      </c>
      <c r="G783" t="s">
        <v>74</v>
      </c>
      <c r="H783">
        <v>182120</v>
      </c>
      <c r="I783">
        <v>0</v>
      </c>
      <c r="J783">
        <v>182120</v>
      </c>
      <c r="K783">
        <v>0</v>
      </c>
      <c r="L783">
        <v>0</v>
      </c>
    </row>
    <row r="784" spans="1:12" x14ac:dyDescent="0.25">
      <c r="A784" t="str">
        <f t="shared" si="12"/>
        <v>3802001159022026M02</v>
      </c>
      <c r="B784">
        <v>51321001</v>
      </c>
      <c r="C784">
        <v>11</v>
      </c>
      <c r="D784">
        <v>380200</v>
      </c>
      <c r="E784">
        <v>115902</v>
      </c>
      <c r="F784" t="s">
        <v>115</v>
      </c>
      <c r="G784" t="s">
        <v>64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x14ac:dyDescent="0.25">
      <c r="A785" t="str">
        <f t="shared" si="12"/>
        <v>3802001159022026M03</v>
      </c>
      <c r="B785">
        <v>51321001</v>
      </c>
      <c r="C785">
        <v>11</v>
      </c>
      <c r="D785">
        <v>380200</v>
      </c>
      <c r="E785">
        <v>115902</v>
      </c>
      <c r="F785" t="s">
        <v>115</v>
      </c>
      <c r="G785" t="s">
        <v>65</v>
      </c>
      <c r="H785">
        <v>119235.91</v>
      </c>
      <c r="I785">
        <v>119235.91</v>
      </c>
      <c r="J785">
        <v>0</v>
      </c>
      <c r="K785">
        <v>0</v>
      </c>
      <c r="L785">
        <v>0</v>
      </c>
    </row>
    <row r="786" spans="1:12" x14ac:dyDescent="0.25">
      <c r="A786" t="str">
        <f t="shared" si="12"/>
        <v>3802001159022026M04</v>
      </c>
      <c r="B786">
        <v>51321001</v>
      </c>
      <c r="C786">
        <v>11</v>
      </c>
      <c r="D786">
        <v>380200</v>
      </c>
      <c r="E786">
        <v>115902</v>
      </c>
      <c r="F786" t="s">
        <v>115</v>
      </c>
      <c r="G786" t="s">
        <v>66</v>
      </c>
      <c r="H786">
        <v>59617.97</v>
      </c>
      <c r="I786">
        <v>59617.97</v>
      </c>
      <c r="J786">
        <v>0</v>
      </c>
      <c r="K786">
        <v>0</v>
      </c>
      <c r="L786">
        <v>0</v>
      </c>
    </row>
    <row r="787" spans="1:12" x14ac:dyDescent="0.25">
      <c r="A787" t="str">
        <f t="shared" si="12"/>
        <v>3802001159022026M05</v>
      </c>
      <c r="B787">
        <v>51321001</v>
      </c>
      <c r="C787">
        <v>11</v>
      </c>
      <c r="D787">
        <v>380200</v>
      </c>
      <c r="E787">
        <v>115902</v>
      </c>
      <c r="F787" t="s">
        <v>115</v>
      </c>
      <c r="G787" t="s">
        <v>67</v>
      </c>
      <c r="H787">
        <v>59617.96</v>
      </c>
      <c r="I787">
        <v>59617.96</v>
      </c>
      <c r="J787">
        <v>0</v>
      </c>
      <c r="K787">
        <v>0</v>
      </c>
      <c r="L787">
        <v>0</v>
      </c>
    </row>
    <row r="788" spans="1:12" x14ac:dyDescent="0.25">
      <c r="A788" t="str">
        <f t="shared" si="12"/>
        <v>3802001159022026M06</v>
      </c>
      <c r="B788">
        <v>51321001</v>
      </c>
      <c r="C788">
        <v>11</v>
      </c>
      <c r="D788">
        <v>380200</v>
      </c>
      <c r="E788">
        <v>115902</v>
      </c>
      <c r="F788" t="s">
        <v>115</v>
      </c>
      <c r="G788" t="s">
        <v>68</v>
      </c>
      <c r="H788">
        <v>59617.96</v>
      </c>
      <c r="I788">
        <v>59617.96</v>
      </c>
      <c r="J788">
        <v>0</v>
      </c>
      <c r="K788">
        <v>0</v>
      </c>
      <c r="L788">
        <v>0</v>
      </c>
    </row>
    <row r="789" spans="1:12" x14ac:dyDescent="0.25">
      <c r="A789" t="str">
        <f t="shared" si="12"/>
        <v>3802001159022026M07</v>
      </c>
      <c r="B789">
        <v>51321001</v>
      </c>
      <c r="C789">
        <v>11</v>
      </c>
      <c r="D789">
        <v>380200</v>
      </c>
      <c r="E789">
        <v>115902</v>
      </c>
      <c r="F789" t="s">
        <v>115</v>
      </c>
      <c r="G789" t="s">
        <v>69</v>
      </c>
      <c r="H789">
        <v>59617.96</v>
      </c>
      <c r="I789">
        <v>59617.96</v>
      </c>
      <c r="J789">
        <v>0</v>
      </c>
      <c r="K789">
        <v>0</v>
      </c>
      <c r="L789">
        <v>0</v>
      </c>
    </row>
    <row r="790" spans="1:12" x14ac:dyDescent="0.25">
      <c r="A790" t="str">
        <f t="shared" si="12"/>
        <v>3802001159022026M08</v>
      </c>
      <c r="B790">
        <v>51321001</v>
      </c>
      <c r="C790">
        <v>11</v>
      </c>
      <c r="D790">
        <v>380200</v>
      </c>
      <c r="E790">
        <v>115902</v>
      </c>
      <c r="F790" t="s">
        <v>115</v>
      </c>
      <c r="G790" t="s">
        <v>70</v>
      </c>
      <c r="H790">
        <v>59617.96</v>
      </c>
      <c r="I790">
        <v>59617.96</v>
      </c>
      <c r="J790">
        <v>0</v>
      </c>
      <c r="K790">
        <v>0</v>
      </c>
      <c r="L790">
        <v>0</v>
      </c>
    </row>
    <row r="791" spans="1:12" x14ac:dyDescent="0.25">
      <c r="A791" t="str">
        <f t="shared" si="12"/>
        <v>3802001159022026M09</v>
      </c>
      <c r="B791">
        <v>51321001</v>
      </c>
      <c r="C791">
        <v>11</v>
      </c>
      <c r="D791">
        <v>380200</v>
      </c>
      <c r="E791">
        <v>115902</v>
      </c>
      <c r="F791" t="s">
        <v>115</v>
      </c>
      <c r="G791" t="s">
        <v>71</v>
      </c>
      <c r="H791">
        <v>59617.96</v>
      </c>
      <c r="I791">
        <v>59617.96</v>
      </c>
      <c r="J791">
        <v>0</v>
      </c>
      <c r="K791">
        <v>0</v>
      </c>
      <c r="L791">
        <v>0</v>
      </c>
    </row>
    <row r="792" spans="1:12" x14ac:dyDescent="0.25">
      <c r="A792" t="str">
        <f t="shared" si="12"/>
        <v>3802001159022026M10</v>
      </c>
      <c r="B792">
        <v>51321001</v>
      </c>
      <c r="C792">
        <v>11</v>
      </c>
      <c r="D792">
        <v>380200</v>
      </c>
      <c r="E792">
        <v>115902</v>
      </c>
      <c r="F792" t="s">
        <v>115</v>
      </c>
      <c r="G792" t="s">
        <v>72</v>
      </c>
      <c r="H792">
        <v>59618.32</v>
      </c>
      <c r="I792">
        <v>0</v>
      </c>
      <c r="J792">
        <v>59617.96</v>
      </c>
      <c r="K792">
        <v>0</v>
      </c>
      <c r="L792">
        <v>0.36</v>
      </c>
    </row>
    <row r="793" spans="1:12" x14ac:dyDescent="0.25">
      <c r="A793" t="str">
        <f t="shared" si="12"/>
        <v>3802001159022026M11</v>
      </c>
      <c r="B793">
        <v>51321001</v>
      </c>
      <c r="C793">
        <v>11</v>
      </c>
      <c r="D793">
        <v>380200</v>
      </c>
      <c r="E793">
        <v>115902</v>
      </c>
      <c r="F793" t="s">
        <v>115</v>
      </c>
      <c r="G793" t="s">
        <v>73</v>
      </c>
      <c r="H793">
        <v>59618</v>
      </c>
      <c r="I793">
        <v>0</v>
      </c>
      <c r="J793">
        <v>59617.96</v>
      </c>
      <c r="K793">
        <v>0</v>
      </c>
      <c r="L793">
        <v>0.04</v>
      </c>
    </row>
    <row r="794" spans="1:12" x14ac:dyDescent="0.25">
      <c r="A794" t="str">
        <f t="shared" si="12"/>
        <v>3802001159022026M12</v>
      </c>
      <c r="B794">
        <v>51321001</v>
      </c>
      <c r="C794">
        <v>11</v>
      </c>
      <c r="D794">
        <v>380200</v>
      </c>
      <c r="E794">
        <v>115902</v>
      </c>
      <c r="F794" t="s">
        <v>115</v>
      </c>
      <c r="G794" t="s">
        <v>74</v>
      </c>
      <c r="H794">
        <v>119236</v>
      </c>
      <c r="I794">
        <v>0</v>
      </c>
      <c r="J794">
        <v>119235.92</v>
      </c>
      <c r="K794">
        <v>0</v>
      </c>
      <c r="L794">
        <v>0.08</v>
      </c>
    </row>
    <row r="795" spans="1:12" x14ac:dyDescent="0.25">
      <c r="A795" t="str">
        <f t="shared" si="12"/>
        <v>3802001159032026M02</v>
      </c>
      <c r="B795">
        <v>51321001</v>
      </c>
      <c r="C795">
        <v>11</v>
      </c>
      <c r="D795">
        <v>380200</v>
      </c>
      <c r="E795">
        <v>115903</v>
      </c>
      <c r="F795" t="s">
        <v>115</v>
      </c>
      <c r="G795" t="s">
        <v>64</v>
      </c>
      <c r="H795">
        <v>0</v>
      </c>
      <c r="I795">
        <v>0</v>
      </c>
      <c r="J795">
        <v>0</v>
      </c>
      <c r="K795">
        <v>0</v>
      </c>
      <c r="L795">
        <v>0</v>
      </c>
    </row>
    <row r="796" spans="1:12" x14ac:dyDescent="0.25">
      <c r="A796" t="str">
        <f t="shared" si="12"/>
        <v>3802001159032026M03</v>
      </c>
      <c r="B796">
        <v>51321001</v>
      </c>
      <c r="C796">
        <v>11</v>
      </c>
      <c r="D796">
        <v>380200</v>
      </c>
      <c r="E796">
        <v>115903</v>
      </c>
      <c r="F796" t="s">
        <v>115</v>
      </c>
      <c r="G796" t="s">
        <v>65</v>
      </c>
      <c r="H796">
        <v>135900.68</v>
      </c>
      <c r="I796">
        <v>135900.68</v>
      </c>
      <c r="J796">
        <v>0</v>
      </c>
      <c r="K796">
        <v>0</v>
      </c>
      <c r="L796">
        <v>0</v>
      </c>
    </row>
    <row r="797" spans="1:12" x14ac:dyDescent="0.25">
      <c r="A797" t="str">
        <f t="shared" si="12"/>
        <v>3802001159032026M04</v>
      </c>
      <c r="B797">
        <v>51321001</v>
      </c>
      <c r="C797">
        <v>11</v>
      </c>
      <c r="D797">
        <v>380200</v>
      </c>
      <c r="E797">
        <v>115903</v>
      </c>
      <c r="F797" t="s">
        <v>115</v>
      </c>
      <c r="G797" t="s">
        <v>66</v>
      </c>
      <c r="H797">
        <v>67950.34</v>
      </c>
      <c r="I797">
        <v>67950.34</v>
      </c>
      <c r="J797">
        <v>0</v>
      </c>
      <c r="K797">
        <v>0</v>
      </c>
      <c r="L797">
        <v>0</v>
      </c>
    </row>
    <row r="798" spans="1:12" x14ac:dyDescent="0.25">
      <c r="A798" t="str">
        <f t="shared" si="12"/>
        <v>3802001159032026M05</v>
      </c>
      <c r="B798">
        <v>51321001</v>
      </c>
      <c r="C798">
        <v>11</v>
      </c>
      <c r="D798">
        <v>380200</v>
      </c>
      <c r="E798">
        <v>115903</v>
      </c>
      <c r="F798" t="s">
        <v>115</v>
      </c>
      <c r="G798" t="s">
        <v>67</v>
      </c>
      <c r="H798">
        <v>67950.34</v>
      </c>
      <c r="I798">
        <v>67950.34</v>
      </c>
      <c r="J798">
        <v>0</v>
      </c>
      <c r="K798">
        <v>0</v>
      </c>
      <c r="L798">
        <v>0</v>
      </c>
    </row>
    <row r="799" spans="1:12" x14ac:dyDescent="0.25">
      <c r="A799" t="str">
        <f t="shared" si="12"/>
        <v>3802001159032026M06</v>
      </c>
      <c r="B799">
        <v>51321001</v>
      </c>
      <c r="C799">
        <v>11</v>
      </c>
      <c r="D799">
        <v>380200</v>
      </c>
      <c r="E799">
        <v>115903</v>
      </c>
      <c r="F799" t="s">
        <v>115</v>
      </c>
      <c r="G799" t="s">
        <v>68</v>
      </c>
      <c r="H799">
        <v>67950.34</v>
      </c>
      <c r="I799">
        <v>67950.34</v>
      </c>
      <c r="J799">
        <v>0</v>
      </c>
      <c r="K799">
        <v>0</v>
      </c>
      <c r="L799">
        <v>0</v>
      </c>
    </row>
    <row r="800" spans="1:12" x14ac:dyDescent="0.25">
      <c r="A800" t="str">
        <f t="shared" si="12"/>
        <v>3802001159032026M07</v>
      </c>
      <c r="B800">
        <v>51321001</v>
      </c>
      <c r="C800">
        <v>11</v>
      </c>
      <c r="D800">
        <v>380200</v>
      </c>
      <c r="E800">
        <v>115903</v>
      </c>
      <c r="F800" t="s">
        <v>115</v>
      </c>
      <c r="G800" t="s">
        <v>69</v>
      </c>
      <c r="H800">
        <v>0</v>
      </c>
      <c r="I800">
        <v>0</v>
      </c>
      <c r="J800">
        <v>0</v>
      </c>
      <c r="K800">
        <v>0</v>
      </c>
      <c r="L800">
        <v>0</v>
      </c>
    </row>
    <row r="801" spans="1:12" x14ac:dyDescent="0.25">
      <c r="A801" t="str">
        <f t="shared" si="12"/>
        <v>3802001159032026M08</v>
      </c>
      <c r="B801">
        <v>51321001</v>
      </c>
      <c r="C801">
        <v>11</v>
      </c>
      <c r="D801">
        <v>380200</v>
      </c>
      <c r="E801">
        <v>115903</v>
      </c>
      <c r="F801" t="s">
        <v>115</v>
      </c>
      <c r="G801" t="s">
        <v>70</v>
      </c>
      <c r="H801">
        <v>135900.68</v>
      </c>
      <c r="I801">
        <v>135900.68</v>
      </c>
      <c r="J801">
        <v>0</v>
      </c>
      <c r="K801">
        <v>0</v>
      </c>
      <c r="L801">
        <v>0</v>
      </c>
    </row>
    <row r="802" spans="1:12" x14ac:dyDescent="0.25">
      <c r="A802" t="str">
        <f t="shared" si="12"/>
        <v>3802001159032026M09</v>
      </c>
      <c r="B802">
        <v>51321001</v>
      </c>
      <c r="C802">
        <v>11</v>
      </c>
      <c r="D802">
        <v>380200</v>
      </c>
      <c r="E802">
        <v>115903</v>
      </c>
      <c r="F802" t="s">
        <v>115</v>
      </c>
      <c r="G802" t="s">
        <v>71</v>
      </c>
      <c r="H802">
        <v>67950.34</v>
      </c>
      <c r="I802">
        <v>67950.34</v>
      </c>
      <c r="J802">
        <v>0</v>
      </c>
      <c r="K802">
        <v>0</v>
      </c>
      <c r="L802">
        <v>0</v>
      </c>
    </row>
    <row r="803" spans="1:12" x14ac:dyDescent="0.25">
      <c r="A803" t="str">
        <f t="shared" si="12"/>
        <v>3802001159032026M10</v>
      </c>
      <c r="B803">
        <v>51321001</v>
      </c>
      <c r="C803">
        <v>11</v>
      </c>
      <c r="D803">
        <v>380200</v>
      </c>
      <c r="E803">
        <v>115903</v>
      </c>
      <c r="F803" t="s">
        <v>115</v>
      </c>
      <c r="G803" t="s">
        <v>72</v>
      </c>
      <c r="H803">
        <v>67956.28</v>
      </c>
      <c r="I803">
        <v>0</v>
      </c>
      <c r="J803">
        <v>67956.28</v>
      </c>
      <c r="K803">
        <v>0</v>
      </c>
      <c r="L803">
        <v>0</v>
      </c>
    </row>
    <row r="804" spans="1:12" x14ac:dyDescent="0.25">
      <c r="A804" t="str">
        <f t="shared" si="12"/>
        <v>3802001159032026M11</v>
      </c>
      <c r="B804">
        <v>51321001</v>
      </c>
      <c r="C804">
        <v>11</v>
      </c>
      <c r="D804">
        <v>380200</v>
      </c>
      <c r="E804">
        <v>115903</v>
      </c>
      <c r="F804" t="s">
        <v>115</v>
      </c>
      <c r="G804" t="s">
        <v>73</v>
      </c>
      <c r="H804">
        <v>67951</v>
      </c>
      <c r="I804">
        <v>0</v>
      </c>
      <c r="J804">
        <v>67951</v>
      </c>
      <c r="K804">
        <v>0</v>
      </c>
      <c r="L804">
        <v>0</v>
      </c>
    </row>
    <row r="805" spans="1:12" x14ac:dyDescent="0.25">
      <c r="A805" t="str">
        <f t="shared" si="12"/>
        <v>3802001159032026M12</v>
      </c>
      <c r="B805">
        <v>51321001</v>
      </c>
      <c r="C805">
        <v>11</v>
      </c>
      <c r="D805">
        <v>380200</v>
      </c>
      <c r="E805">
        <v>115903</v>
      </c>
      <c r="F805" t="s">
        <v>115</v>
      </c>
      <c r="G805" t="s">
        <v>74</v>
      </c>
      <c r="H805">
        <v>135902</v>
      </c>
      <c r="I805">
        <v>0</v>
      </c>
      <c r="J805">
        <v>135902</v>
      </c>
      <c r="K805">
        <v>0</v>
      </c>
      <c r="L805">
        <v>0</v>
      </c>
    </row>
    <row r="806" spans="1:12" x14ac:dyDescent="0.25">
      <c r="A806" t="str">
        <f t="shared" si="12"/>
        <v>3802001159052026M02</v>
      </c>
      <c r="B806">
        <v>51321001</v>
      </c>
      <c r="C806">
        <v>11</v>
      </c>
      <c r="D806">
        <v>380200</v>
      </c>
      <c r="E806">
        <v>115905</v>
      </c>
      <c r="F806" t="s">
        <v>115</v>
      </c>
      <c r="G806" t="s">
        <v>64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 x14ac:dyDescent="0.25">
      <c r="A807" t="str">
        <f t="shared" si="12"/>
        <v>3802001159052026M03</v>
      </c>
      <c r="B807">
        <v>51321001</v>
      </c>
      <c r="C807">
        <v>11</v>
      </c>
      <c r="D807">
        <v>380200</v>
      </c>
      <c r="E807">
        <v>115905</v>
      </c>
      <c r="F807" t="s">
        <v>115</v>
      </c>
      <c r="G807" t="s">
        <v>65</v>
      </c>
      <c r="H807">
        <v>0</v>
      </c>
      <c r="I807">
        <v>0</v>
      </c>
      <c r="J807">
        <v>0</v>
      </c>
      <c r="K807">
        <v>0</v>
      </c>
      <c r="L807">
        <v>0</v>
      </c>
    </row>
    <row r="808" spans="1:12" x14ac:dyDescent="0.25">
      <c r="A808" t="str">
        <f t="shared" si="12"/>
        <v>3802001159052026M04</v>
      </c>
      <c r="B808">
        <v>51321001</v>
      </c>
      <c r="C808">
        <v>11</v>
      </c>
      <c r="D808">
        <v>380200</v>
      </c>
      <c r="E808">
        <v>115905</v>
      </c>
      <c r="F808" t="s">
        <v>115</v>
      </c>
      <c r="G808" t="s">
        <v>66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5">
      <c r="A809" t="str">
        <f t="shared" si="12"/>
        <v>3802001159052026M05</v>
      </c>
      <c r="B809">
        <v>51321001</v>
      </c>
      <c r="C809">
        <v>11</v>
      </c>
      <c r="D809">
        <v>380200</v>
      </c>
      <c r="E809">
        <v>115905</v>
      </c>
      <c r="F809" t="s">
        <v>115</v>
      </c>
      <c r="G809" t="s">
        <v>67</v>
      </c>
      <c r="H809">
        <v>0</v>
      </c>
      <c r="I809">
        <v>0</v>
      </c>
      <c r="J809">
        <v>0</v>
      </c>
      <c r="K809">
        <v>0</v>
      </c>
      <c r="L809">
        <v>0</v>
      </c>
    </row>
    <row r="810" spans="1:12" x14ac:dyDescent="0.25">
      <c r="A810" t="str">
        <f t="shared" si="12"/>
        <v>3802001159052026M06</v>
      </c>
      <c r="B810">
        <v>51321001</v>
      </c>
      <c r="C810">
        <v>11</v>
      </c>
      <c r="D810">
        <v>380200</v>
      </c>
      <c r="E810">
        <v>115905</v>
      </c>
      <c r="F810" t="s">
        <v>115</v>
      </c>
      <c r="G810" t="s">
        <v>68</v>
      </c>
      <c r="H810">
        <v>267796.65000000002</v>
      </c>
      <c r="I810">
        <v>267796.65000000002</v>
      </c>
      <c r="J810">
        <v>0</v>
      </c>
      <c r="K810">
        <v>0</v>
      </c>
      <c r="L810">
        <v>0</v>
      </c>
    </row>
    <row r="811" spans="1:12" x14ac:dyDescent="0.25">
      <c r="A811" t="str">
        <f t="shared" si="12"/>
        <v>3802001159052026M07</v>
      </c>
      <c r="B811">
        <v>51321001</v>
      </c>
      <c r="C811">
        <v>11</v>
      </c>
      <c r="D811">
        <v>380200</v>
      </c>
      <c r="E811">
        <v>115905</v>
      </c>
      <c r="F811" t="s">
        <v>115</v>
      </c>
      <c r="G811" t="s">
        <v>69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 t="str">
        <f t="shared" si="12"/>
        <v>3802001159052026M08</v>
      </c>
      <c r="B812">
        <v>51321001</v>
      </c>
      <c r="C812">
        <v>11</v>
      </c>
      <c r="D812">
        <v>380200</v>
      </c>
      <c r="E812">
        <v>115905</v>
      </c>
      <c r="F812" t="s">
        <v>115</v>
      </c>
      <c r="G812" t="s">
        <v>70</v>
      </c>
      <c r="H812">
        <v>53559.33</v>
      </c>
      <c r="I812">
        <v>53559.33</v>
      </c>
      <c r="J812">
        <v>0</v>
      </c>
      <c r="K812">
        <v>0</v>
      </c>
      <c r="L812">
        <v>0</v>
      </c>
    </row>
    <row r="813" spans="1:12" x14ac:dyDescent="0.25">
      <c r="A813" t="str">
        <f t="shared" si="12"/>
        <v>3802001159052026M09</v>
      </c>
      <c r="B813">
        <v>51321001</v>
      </c>
      <c r="C813">
        <v>11</v>
      </c>
      <c r="D813">
        <v>380200</v>
      </c>
      <c r="E813">
        <v>115905</v>
      </c>
      <c r="F813" t="s">
        <v>115</v>
      </c>
      <c r="G813" t="s">
        <v>71</v>
      </c>
      <c r="H813">
        <v>53559.33</v>
      </c>
      <c r="I813">
        <v>53559.33</v>
      </c>
      <c r="J813">
        <v>0</v>
      </c>
      <c r="K813">
        <v>0</v>
      </c>
      <c r="L813">
        <v>0</v>
      </c>
    </row>
    <row r="814" spans="1:12" x14ac:dyDescent="0.25">
      <c r="A814" t="str">
        <f t="shared" si="12"/>
        <v>3802001159052026M10</v>
      </c>
      <c r="B814">
        <v>51321001</v>
      </c>
      <c r="C814">
        <v>11</v>
      </c>
      <c r="D814">
        <v>380200</v>
      </c>
      <c r="E814">
        <v>115905</v>
      </c>
      <c r="F814" t="s">
        <v>115</v>
      </c>
      <c r="G814" t="s">
        <v>72</v>
      </c>
      <c r="H814">
        <v>107124.69</v>
      </c>
      <c r="I814">
        <v>0</v>
      </c>
      <c r="J814">
        <v>107124.69</v>
      </c>
      <c r="K814">
        <v>0</v>
      </c>
      <c r="L814">
        <v>0</v>
      </c>
    </row>
    <row r="815" spans="1:12" x14ac:dyDescent="0.25">
      <c r="A815" t="str">
        <f t="shared" si="12"/>
        <v>3802001159052026M11</v>
      </c>
      <c r="B815">
        <v>51321001</v>
      </c>
      <c r="C815">
        <v>11</v>
      </c>
      <c r="D815">
        <v>380200</v>
      </c>
      <c r="E815">
        <v>115905</v>
      </c>
      <c r="F815" t="s">
        <v>115</v>
      </c>
      <c r="G815" t="s">
        <v>73</v>
      </c>
      <c r="H815">
        <v>53560</v>
      </c>
      <c r="I815">
        <v>0</v>
      </c>
      <c r="J815">
        <v>53560</v>
      </c>
      <c r="K815">
        <v>0</v>
      </c>
      <c r="L815">
        <v>0</v>
      </c>
    </row>
    <row r="816" spans="1:12" x14ac:dyDescent="0.25">
      <c r="A816" t="str">
        <f t="shared" si="12"/>
        <v>3802001159052026M12</v>
      </c>
      <c r="B816">
        <v>51321001</v>
      </c>
      <c r="C816">
        <v>11</v>
      </c>
      <c r="D816">
        <v>380200</v>
      </c>
      <c r="E816">
        <v>115905</v>
      </c>
      <c r="F816" t="s">
        <v>115</v>
      </c>
      <c r="G816" t="s">
        <v>74</v>
      </c>
      <c r="H816">
        <v>107120</v>
      </c>
      <c r="I816">
        <v>0</v>
      </c>
      <c r="J816">
        <v>107120</v>
      </c>
      <c r="K816">
        <v>0</v>
      </c>
      <c r="L816">
        <v>0</v>
      </c>
    </row>
    <row r="817" spans="1:12" x14ac:dyDescent="0.25">
      <c r="A817" t="str">
        <f t="shared" si="12"/>
        <v>9001101191032026M02</v>
      </c>
      <c r="B817">
        <v>51321001</v>
      </c>
      <c r="C817">
        <v>11</v>
      </c>
      <c r="D817">
        <v>900110</v>
      </c>
      <c r="E817">
        <v>119103</v>
      </c>
      <c r="F817" t="s">
        <v>115</v>
      </c>
      <c r="G817" t="s">
        <v>64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25">
      <c r="A818" t="str">
        <f t="shared" si="12"/>
        <v>9001101191032026M03</v>
      </c>
      <c r="B818">
        <v>51321001</v>
      </c>
      <c r="C818">
        <v>11</v>
      </c>
      <c r="D818">
        <v>900110</v>
      </c>
      <c r="E818">
        <v>119103</v>
      </c>
      <c r="F818" t="s">
        <v>115</v>
      </c>
      <c r="G818" t="s">
        <v>65</v>
      </c>
      <c r="H818">
        <v>101524.92</v>
      </c>
      <c r="I818">
        <v>101524.92</v>
      </c>
      <c r="J818">
        <v>0</v>
      </c>
      <c r="K818">
        <v>0</v>
      </c>
      <c r="L818">
        <v>0</v>
      </c>
    </row>
    <row r="819" spans="1:12" x14ac:dyDescent="0.25">
      <c r="A819" t="str">
        <f t="shared" si="12"/>
        <v>9001101191032026M04</v>
      </c>
      <c r="B819">
        <v>51321001</v>
      </c>
      <c r="C819">
        <v>11</v>
      </c>
      <c r="D819">
        <v>900110</v>
      </c>
      <c r="E819">
        <v>119103</v>
      </c>
      <c r="F819" t="s">
        <v>115</v>
      </c>
      <c r="G819" t="s">
        <v>66</v>
      </c>
      <c r="H819">
        <v>50762.46</v>
      </c>
      <c r="I819">
        <v>50762.46</v>
      </c>
      <c r="J819">
        <v>0</v>
      </c>
      <c r="K819">
        <v>0</v>
      </c>
      <c r="L819">
        <v>0</v>
      </c>
    </row>
    <row r="820" spans="1:12" x14ac:dyDescent="0.25">
      <c r="A820" t="str">
        <f t="shared" si="12"/>
        <v>9001101191032026M05</v>
      </c>
      <c r="B820">
        <v>51321001</v>
      </c>
      <c r="C820">
        <v>11</v>
      </c>
      <c r="D820">
        <v>900110</v>
      </c>
      <c r="E820">
        <v>119103</v>
      </c>
      <c r="F820" t="s">
        <v>115</v>
      </c>
      <c r="G820" t="s">
        <v>67</v>
      </c>
      <c r="H820">
        <v>50762.46</v>
      </c>
      <c r="I820">
        <v>50762.46</v>
      </c>
      <c r="J820">
        <v>0</v>
      </c>
      <c r="K820">
        <v>0</v>
      </c>
      <c r="L820">
        <v>0</v>
      </c>
    </row>
    <row r="821" spans="1:12" x14ac:dyDescent="0.25">
      <c r="A821" t="str">
        <f t="shared" si="12"/>
        <v>9001101191032026M06</v>
      </c>
      <c r="B821">
        <v>51321001</v>
      </c>
      <c r="C821">
        <v>11</v>
      </c>
      <c r="D821">
        <v>900110</v>
      </c>
      <c r="E821">
        <v>119103</v>
      </c>
      <c r="F821" t="s">
        <v>115</v>
      </c>
      <c r="G821" t="s">
        <v>68</v>
      </c>
      <c r="H821">
        <v>50762.46</v>
      </c>
      <c r="I821">
        <v>50762.46</v>
      </c>
      <c r="J821">
        <v>0</v>
      </c>
      <c r="K821">
        <v>0</v>
      </c>
      <c r="L821">
        <v>0</v>
      </c>
    </row>
    <row r="822" spans="1:12" x14ac:dyDescent="0.25">
      <c r="A822" t="str">
        <f t="shared" si="12"/>
        <v>9001101191032026M07</v>
      </c>
      <c r="B822">
        <v>51321001</v>
      </c>
      <c r="C822">
        <v>11</v>
      </c>
      <c r="D822">
        <v>900110</v>
      </c>
      <c r="E822">
        <v>119103</v>
      </c>
      <c r="F822" t="s">
        <v>115</v>
      </c>
      <c r="G822" t="s">
        <v>69</v>
      </c>
      <c r="H822">
        <v>50762.46</v>
      </c>
      <c r="I822">
        <v>50762.46</v>
      </c>
      <c r="J822">
        <v>0</v>
      </c>
      <c r="K822">
        <v>0</v>
      </c>
      <c r="L822">
        <v>0</v>
      </c>
    </row>
    <row r="823" spans="1:12" x14ac:dyDescent="0.25">
      <c r="A823" t="str">
        <f t="shared" si="12"/>
        <v>9001101191032026M08</v>
      </c>
      <c r="B823">
        <v>51321001</v>
      </c>
      <c r="C823">
        <v>11</v>
      </c>
      <c r="D823">
        <v>900110</v>
      </c>
      <c r="E823">
        <v>119103</v>
      </c>
      <c r="F823" t="s">
        <v>115</v>
      </c>
      <c r="G823" t="s">
        <v>70</v>
      </c>
      <c r="H823">
        <v>50762.46</v>
      </c>
      <c r="I823">
        <v>50762.46</v>
      </c>
      <c r="J823">
        <v>0</v>
      </c>
      <c r="K823">
        <v>0</v>
      </c>
      <c r="L823">
        <v>0</v>
      </c>
    </row>
    <row r="824" spans="1:12" x14ac:dyDescent="0.25">
      <c r="A824" t="str">
        <f t="shared" si="12"/>
        <v>9001101191032026M09</v>
      </c>
      <c r="B824">
        <v>51321001</v>
      </c>
      <c r="C824">
        <v>11</v>
      </c>
      <c r="D824">
        <v>900110</v>
      </c>
      <c r="E824">
        <v>119103</v>
      </c>
      <c r="F824" t="s">
        <v>115</v>
      </c>
      <c r="G824" t="s">
        <v>71</v>
      </c>
      <c r="H824">
        <v>50762.46</v>
      </c>
      <c r="I824">
        <v>50762.46</v>
      </c>
      <c r="J824">
        <v>0</v>
      </c>
      <c r="K824">
        <v>0</v>
      </c>
      <c r="L824">
        <v>0</v>
      </c>
    </row>
    <row r="825" spans="1:12" x14ac:dyDescent="0.25">
      <c r="A825" t="str">
        <f t="shared" si="12"/>
        <v>9001101191032026M10</v>
      </c>
      <c r="B825">
        <v>51321001</v>
      </c>
      <c r="C825">
        <v>11</v>
      </c>
      <c r="D825">
        <v>900110</v>
      </c>
      <c r="E825">
        <v>119103</v>
      </c>
      <c r="F825" t="s">
        <v>115</v>
      </c>
      <c r="G825" t="s">
        <v>72</v>
      </c>
      <c r="H825">
        <v>50767.32</v>
      </c>
      <c r="I825">
        <v>0</v>
      </c>
      <c r="J825">
        <v>50767.32</v>
      </c>
      <c r="K825">
        <v>0</v>
      </c>
      <c r="L825">
        <v>0</v>
      </c>
    </row>
    <row r="826" spans="1:12" x14ac:dyDescent="0.25">
      <c r="A826" t="str">
        <f t="shared" si="12"/>
        <v>9001101191032026M11</v>
      </c>
      <c r="B826">
        <v>51321001</v>
      </c>
      <c r="C826">
        <v>11</v>
      </c>
      <c r="D826">
        <v>900110</v>
      </c>
      <c r="E826">
        <v>119103</v>
      </c>
      <c r="F826" t="s">
        <v>115</v>
      </c>
      <c r="G826" t="s">
        <v>73</v>
      </c>
      <c r="H826">
        <v>50763</v>
      </c>
      <c r="I826">
        <v>0</v>
      </c>
      <c r="J826">
        <v>50763</v>
      </c>
      <c r="K826">
        <v>0</v>
      </c>
      <c r="L826">
        <v>0</v>
      </c>
    </row>
    <row r="827" spans="1:12" x14ac:dyDescent="0.25">
      <c r="A827" t="str">
        <f t="shared" si="12"/>
        <v>9001101191032026M12</v>
      </c>
      <c r="B827">
        <v>51321001</v>
      </c>
      <c r="C827">
        <v>11</v>
      </c>
      <c r="D827">
        <v>900110</v>
      </c>
      <c r="E827">
        <v>119103</v>
      </c>
      <c r="F827" t="s">
        <v>115</v>
      </c>
      <c r="G827" t="s">
        <v>74</v>
      </c>
      <c r="H827">
        <v>101526</v>
      </c>
      <c r="I827">
        <v>0</v>
      </c>
      <c r="J827">
        <v>101526</v>
      </c>
      <c r="K827">
        <v>0</v>
      </c>
      <c r="L827">
        <v>0</v>
      </c>
    </row>
    <row r="828" spans="1:12" x14ac:dyDescent="0.25">
      <c r="A828" t="str">
        <f t="shared" si="12"/>
        <v>9001101191042026M02</v>
      </c>
      <c r="B828">
        <v>51321001</v>
      </c>
      <c r="C828">
        <v>11</v>
      </c>
      <c r="D828">
        <v>900110</v>
      </c>
      <c r="E828">
        <v>119104</v>
      </c>
      <c r="F828" t="s">
        <v>115</v>
      </c>
      <c r="G828" t="s">
        <v>64</v>
      </c>
      <c r="H828">
        <v>0</v>
      </c>
      <c r="I828">
        <v>0</v>
      </c>
      <c r="J828">
        <v>0</v>
      </c>
      <c r="K828">
        <v>0</v>
      </c>
      <c r="L828">
        <v>0</v>
      </c>
    </row>
    <row r="829" spans="1:12" x14ac:dyDescent="0.25">
      <c r="A829" t="str">
        <f t="shared" si="12"/>
        <v>9001101191042026M03</v>
      </c>
      <c r="B829">
        <v>51321001</v>
      </c>
      <c r="C829">
        <v>11</v>
      </c>
      <c r="D829">
        <v>900110</v>
      </c>
      <c r="E829">
        <v>119104</v>
      </c>
      <c r="F829" t="s">
        <v>115</v>
      </c>
      <c r="G829" t="s">
        <v>65</v>
      </c>
      <c r="H829">
        <v>141056</v>
      </c>
      <c r="I829">
        <v>141056</v>
      </c>
      <c r="J829">
        <v>0</v>
      </c>
      <c r="K829">
        <v>0</v>
      </c>
      <c r="L829">
        <v>0</v>
      </c>
    </row>
    <row r="830" spans="1:12" x14ac:dyDescent="0.25">
      <c r="A830" t="str">
        <f t="shared" si="12"/>
        <v>9001101191042026M04</v>
      </c>
      <c r="B830">
        <v>51321001</v>
      </c>
      <c r="C830">
        <v>11</v>
      </c>
      <c r="D830">
        <v>900110</v>
      </c>
      <c r="E830">
        <v>119104</v>
      </c>
      <c r="F830" t="s">
        <v>115</v>
      </c>
      <c r="G830" t="s">
        <v>66</v>
      </c>
      <c r="H830">
        <v>70528</v>
      </c>
      <c r="I830">
        <v>70528</v>
      </c>
      <c r="J830">
        <v>0</v>
      </c>
      <c r="K830">
        <v>0</v>
      </c>
      <c r="L830">
        <v>0</v>
      </c>
    </row>
    <row r="831" spans="1:12" x14ac:dyDescent="0.25">
      <c r="A831" t="str">
        <f t="shared" si="12"/>
        <v>9001101191042026M05</v>
      </c>
      <c r="B831">
        <v>51321001</v>
      </c>
      <c r="C831">
        <v>11</v>
      </c>
      <c r="D831">
        <v>900110</v>
      </c>
      <c r="E831">
        <v>119104</v>
      </c>
      <c r="F831" t="s">
        <v>115</v>
      </c>
      <c r="G831" t="s">
        <v>67</v>
      </c>
      <c r="H831">
        <v>70528</v>
      </c>
      <c r="I831">
        <v>70528</v>
      </c>
      <c r="J831">
        <v>0</v>
      </c>
      <c r="K831">
        <v>0</v>
      </c>
      <c r="L831">
        <v>0</v>
      </c>
    </row>
    <row r="832" spans="1:12" x14ac:dyDescent="0.25">
      <c r="A832" t="str">
        <f t="shared" si="12"/>
        <v>9001101191042026M06</v>
      </c>
      <c r="B832">
        <v>51321001</v>
      </c>
      <c r="C832">
        <v>11</v>
      </c>
      <c r="D832">
        <v>900110</v>
      </c>
      <c r="E832">
        <v>119104</v>
      </c>
      <c r="F832" t="s">
        <v>115</v>
      </c>
      <c r="G832" t="s">
        <v>68</v>
      </c>
      <c r="H832">
        <v>70528</v>
      </c>
      <c r="I832">
        <v>70528</v>
      </c>
      <c r="J832">
        <v>0</v>
      </c>
      <c r="K832">
        <v>0</v>
      </c>
      <c r="L832">
        <v>0</v>
      </c>
    </row>
    <row r="833" spans="1:12" x14ac:dyDescent="0.25">
      <c r="A833" t="str">
        <f t="shared" si="12"/>
        <v>9001101191042026M07</v>
      </c>
      <c r="B833">
        <v>51321001</v>
      </c>
      <c r="C833">
        <v>11</v>
      </c>
      <c r="D833">
        <v>900110</v>
      </c>
      <c r="E833">
        <v>119104</v>
      </c>
      <c r="F833" t="s">
        <v>115</v>
      </c>
      <c r="G833" t="s">
        <v>69</v>
      </c>
      <c r="H833">
        <v>70528</v>
      </c>
      <c r="I833">
        <v>70528</v>
      </c>
      <c r="J833">
        <v>0</v>
      </c>
      <c r="K833">
        <v>0</v>
      </c>
      <c r="L833">
        <v>0</v>
      </c>
    </row>
    <row r="834" spans="1:12" x14ac:dyDescent="0.25">
      <c r="A834" t="str">
        <f t="shared" si="12"/>
        <v>9001101191042026M08</v>
      </c>
      <c r="B834">
        <v>51321001</v>
      </c>
      <c r="C834">
        <v>11</v>
      </c>
      <c r="D834">
        <v>900110</v>
      </c>
      <c r="E834">
        <v>119104</v>
      </c>
      <c r="F834" t="s">
        <v>115</v>
      </c>
      <c r="G834" t="s">
        <v>70</v>
      </c>
      <c r="H834">
        <v>70528</v>
      </c>
      <c r="I834">
        <v>70528</v>
      </c>
      <c r="J834">
        <v>0</v>
      </c>
      <c r="K834">
        <v>0</v>
      </c>
      <c r="L834">
        <v>0</v>
      </c>
    </row>
    <row r="835" spans="1:12" x14ac:dyDescent="0.25">
      <c r="A835" t="str">
        <f t="shared" si="12"/>
        <v>9001101191042026M09</v>
      </c>
      <c r="B835">
        <v>51321001</v>
      </c>
      <c r="C835">
        <v>11</v>
      </c>
      <c r="D835">
        <v>900110</v>
      </c>
      <c r="E835">
        <v>119104</v>
      </c>
      <c r="F835" t="s">
        <v>115</v>
      </c>
      <c r="G835" t="s">
        <v>71</v>
      </c>
      <c r="H835">
        <v>70528</v>
      </c>
      <c r="I835">
        <v>70528</v>
      </c>
      <c r="J835">
        <v>0</v>
      </c>
      <c r="K835">
        <v>0</v>
      </c>
      <c r="L835">
        <v>0</v>
      </c>
    </row>
    <row r="836" spans="1:12" x14ac:dyDescent="0.25">
      <c r="A836" t="str">
        <f t="shared" si="12"/>
        <v>9001101191042026M10</v>
      </c>
      <c r="B836">
        <v>51321001</v>
      </c>
      <c r="C836">
        <v>11</v>
      </c>
      <c r="D836">
        <v>900110</v>
      </c>
      <c r="E836">
        <v>119104</v>
      </c>
      <c r="F836" t="s">
        <v>115</v>
      </c>
      <c r="G836" t="s">
        <v>72</v>
      </c>
      <c r="H836">
        <v>70528</v>
      </c>
      <c r="I836">
        <v>0</v>
      </c>
      <c r="J836">
        <v>70528</v>
      </c>
      <c r="K836">
        <v>0</v>
      </c>
      <c r="L836">
        <v>0</v>
      </c>
    </row>
    <row r="837" spans="1:12" x14ac:dyDescent="0.25">
      <c r="A837" t="str">
        <f t="shared" si="12"/>
        <v>9001101191042026M11</v>
      </c>
      <c r="B837">
        <v>51321001</v>
      </c>
      <c r="C837">
        <v>11</v>
      </c>
      <c r="D837">
        <v>900110</v>
      </c>
      <c r="E837">
        <v>119104</v>
      </c>
      <c r="F837" t="s">
        <v>115</v>
      </c>
      <c r="G837" t="s">
        <v>73</v>
      </c>
      <c r="H837">
        <v>70528</v>
      </c>
      <c r="I837">
        <v>0</v>
      </c>
      <c r="J837">
        <v>70528</v>
      </c>
      <c r="K837">
        <v>0</v>
      </c>
      <c r="L837">
        <v>0</v>
      </c>
    </row>
    <row r="838" spans="1:12" x14ac:dyDescent="0.25">
      <c r="A838" t="str">
        <f t="shared" si="12"/>
        <v>9001101191042026M12</v>
      </c>
      <c r="B838">
        <v>51321001</v>
      </c>
      <c r="C838">
        <v>11</v>
      </c>
      <c r="D838">
        <v>900110</v>
      </c>
      <c r="E838">
        <v>119104</v>
      </c>
      <c r="F838" t="s">
        <v>115</v>
      </c>
      <c r="G838" t="s">
        <v>74</v>
      </c>
      <c r="H838">
        <v>141056</v>
      </c>
      <c r="I838">
        <v>0</v>
      </c>
      <c r="J838">
        <v>141056</v>
      </c>
      <c r="K838">
        <v>0</v>
      </c>
      <c r="L838">
        <v>0</v>
      </c>
    </row>
    <row r="839" spans="1:12" x14ac:dyDescent="0.25">
      <c r="A839" t="str">
        <f t="shared" si="12"/>
        <v>9202011180022026M02</v>
      </c>
      <c r="B839">
        <v>51321001</v>
      </c>
      <c r="C839">
        <v>11</v>
      </c>
      <c r="D839">
        <v>920201</v>
      </c>
      <c r="E839">
        <v>118002</v>
      </c>
      <c r="F839" t="s">
        <v>115</v>
      </c>
      <c r="G839" t="s">
        <v>64</v>
      </c>
      <c r="H839">
        <v>0</v>
      </c>
      <c r="I839">
        <v>0</v>
      </c>
      <c r="J839">
        <v>0</v>
      </c>
      <c r="K839">
        <v>0</v>
      </c>
      <c r="L839">
        <v>0</v>
      </c>
    </row>
    <row r="840" spans="1:12" x14ac:dyDescent="0.25">
      <c r="A840" t="str">
        <f t="shared" si="12"/>
        <v>9202011180022026M03</v>
      </c>
      <c r="B840">
        <v>51321001</v>
      </c>
      <c r="C840">
        <v>11</v>
      </c>
      <c r="D840">
        <v>920201</v>
      </c>
      <c r="E840">
        <v>118002</v>
      </c>
      <c r="F840" t="s">
        <v>115</v>
      </c>
      <c r="G840" t="s">
        <v>65</v>
      </c>
      <c r="H840">
        <v>97439.72</v>
      </c>
      <c r="I840">
        <v>97439.72</v>
      </c>
      <c r="J840">
        <v>0</v>
      </c>
      <c r="K840">
        <v>0</v>
      </c>
      <c r="L840">
        <v>0</v>
      </c>
    </row>
    <row r="841" spans="1:12" x14ac:dyDescent="0.25">
      <c r="A841" t="str">
        <f t="shared" si="12"/>
        <v>9202011180022026M04</v>
      </c>
      <c r="B841">
        <v>51321001</v>
      </c>
      <c r="C841">
        <v>11</v>
      </c>
      <c r="D841">
        <v>920201</v>
      </c>
      <c r="E841">
        <v>118002</v>
      </c>
      <c r="F841" t="s">
        <v>115</v>
      </c>
      <c r="G841" t="s">
        <v>66</v>
      </c>
      <c r="H841">
        <v>48719.86</v>
      </c>
      <c r="I841">
        <v>48719.86</v>
      </c>
      <c r="J841">
        <v>0</v>
      </c>
      <c r="K841">
        <v>0</v>
      </c>
      <c r="L841">
        <v>0</v>
      </c>
    </row>
    <row r="842" spans="1:12" x14ac:dyDescent="0.25">
      <c r="A842" t="str">
        <f t="shared" si="12"/>
        <v>9202011180022026M05</v>
      </c>
      <c r="B842">
        <v>51321001</v>
      </c>
      <c r="C842">
        <v>11</v>
      </c>
      <c r="D842">
        <v>920201</v>
      </c>
      <c r="E842">
        <v>118002</v>
      </c>
      <c r="F842" t="s">
        <v>115</v>
      </c>
      <c r="G842" t="s">
        <v>67</v>
      </c>
      <c r="H842">
        <v>48719.86</v>
      </c>
      <c r="I842">
        <v>48719.86</v>
      </c>
      <c r="J842">
        <v>0</v>
      </c>
      <c r="K842">
        <v>0</v>
      </c>
      <c r="L842">
        <v>0</v>
      </c>
    </row>
    <row r="843" spans="1:12" x14ac:dyDescent="0.25">
      <c r="A843" t="str">
        <f t="shared" ref="A843:A906" si="13">D843&amp;E843&amp;G843</f>
        <v>9202011180022026M06</v>
      </c>
      <c r="B843">
        <v>51321001</v>
      </c>
      <c r="C843">
        <v>11</v>
      </c>
      <c r="D843">
        <v>920201</v>
      </c>
      <c r="E843">
        <v>118002</v>
      </c>
      <c r="F843" t="s">
        <v>115</v>
      </c>
      <c r="G843" t="s">
        <v>68</v>
      </c>
      <c r="H843">
        <v>48719.86</v>
      </c>
      <c r="I843">
        <v>48719.86</v>
      </c>
      <c r="J843">
        <v>0</v>
      </c>
      <c r="K843">
        <v>0</v>
      </c>
      <c r="L843">
        <v>0</v>
      </c>
    </row>
    <row r="844" spans="1:12" x14ac:dyDescent="0.25">
      <c r="A844" t="str">
        <f t="shared" si="13"/>
        <v>9202011180022026M07</v>
      </c>
      <c r="B844">
        <v>51321001</v>
      </c>
      <c r="C844">
        <v>11</v>
      </c>
      <c r="D844">
        <v>920201</v>
      </c>
      <c r="E844">
        <v>118002</v>
      </c>
      <c r="F844" t="s">
        <v>115</v>
      </c>
      <c r="G844" t="s">
        <v>69</v>
      </c>
      <c r="H844">
        <v>48719.86</v>
      </c>
      <c r="I844">
        <v>48719.86</v>
      </c>
      <c r="J844">
        <v>0</v>
      </c>
      <c r="K844">
        <v>0</v>
      </c>
      <c r="L844">
        <v>0</v>
      </c>
    </row>
    <row r="845" spans="1:12" x14ac:dyDescent="0.25">
      <c r="A845" t="str">
        <f t="shared" si="13"/>
        <v>9202011180022026M08</v>
      </c>
      <c r="B845">
        <v>51321001</v>
      </c>
      <c r="C845">
        <v>11</v>
      </c>
      <c r="D845">
        <v>920201</v>
      </c>
      <c r="E845">
        <v>118002</v>
      </c>
      <c r="F845" t="s">
        <v>115</v>
      </c>
      <c r="G845" t="s">
        <v>70</v>
      </c>
      <c r="H845">
        <v>0</v>
      </c>
      <c r="I845">
        <v>0</v>
      </c>
      <c r="J845">
        <v>0</v>
      </c>
      <c r="K845">
        <v>0</v>
      </c>
      <c r="L845">
        <v>0</v>
      </c>
    </row>
    <row r="846" spans="1:12" x14ac:dyDescent="0.25">
      <c r="A846" t="str">
        <f t="shared" si="13"/>
        <v>9202011180022026M09</v>
      </c>
      <c r="B846">
        <v>51321001</v>
      </c>
      <c r="C846">
        <v>11</v>
      </c>
      <c r="D846">
        <v>920201</v>
      </c>
      <c r="E846">
        <v>118002</v>
      </c>
      <c r="F846" t="s">
        <v>115</v>
      </c>
      <c r="G846" t="s">
        <v>71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 x14ac:dyDescent="0.25">
      <c r="A847" t="str">
        <f t="shared" si="13"/>
        <v>9202011180022026M10</v>
      </c>
      <c r="B847">
        <v>51321001</v>
      </c>
      <c r="C847">
        <v>11</v>
      </c>
      <c r="D847">
        <v>920201</v>
      </c>
      <c r="E847">
        <v>118002</v>
      </c>
      <c r="F847" t="s">
        <v>115</v>
      </c>
      <c r="G847" t="s">
        <v>72</v>
      </c>
      <c r="H847">
        <v>146160.84</v>
      </c>
      <c r="I847">
        <v>0</v>
      </c>
      <c r="J847">
        <v>146160.84</v>
      </c>
      <c r="K847">
        <v>0</v>
      </c>
      <c r="L847">
        <v>0</v>
      </c>
    </row>
    <row r="848" spans="1:12" x14ac:dyDescent="0.25">
      <c r="A848" t="str">
        <f t="shared" si="13"/>
        <v>9202011180022026M11</v>
      </c>
      <c r="B848">
        <v>51321001</v>
      </c>
      <c r="C848">
        <v>11</v>
      </c>
      <c r="D848">
        <v>920201</v>
      </c>
      <c r="E848">
        <v>118002</v>
      </c>
      <c r="F848" t="s">
        <v>115</v>
      </c>
      <c r="G848" t="s">
        <v>73</v>
      </c>
      <c r="H848">
        <v>48720</v>
      </c>
      <c r="I848">
        <v>0</v>
      </c>
      <c r="J848">
        <v>48720</v>
      </c>
      <c r="K848">
        <v>0</v>
      </c>
      <c r="L848">
        <v>0</v>
      </c>
    </row>
    <row r="849" spans="1:12" x14ac:dyDescent="0.25">
      <c r="A849" t="str">
        <f t="shared" si="13"/>
        <v>9202011180022026M12</v>
      </c>
      <c r="B849">
        <v>51321001</v>
      </c>
      <c r="C849">
        <v>11</v>
      </c>
      <c r="D849">
        <v>920201</v>
      </c>
      <c r="E849">
        <v>118002</v>
      </c>
      <c r="F849" t="s">
        <v>115</v>
      </c>
      <c r="G849" t="s">
        <v>74</v>
      </c>
      <c r="H849">
        <v>97440</v>
      </c>
      <c r="I849">
        <v>0</v>
      </c>
      <c r="J849">
        <v>97440</v>
      </c>
      <c r="K849">
        <v>0</v>
      </c>
      <c r="L849">
        <v>0</v>
      </c>
    </row>
    <row r="850" spans="1:12" x14ac:dyDescent="0.25">
      <c r="A850" t="str">
        <f t="shared" si="13"/>
        <v>9202011191012026M02</v>
      </c>
      <c r="B850">
        <v>51321001</v>
      </c>
      <c r="C850">
        <v>11</v>
      </c>
      <c r="D850">
        <v>920201</v>
      </c>
      <c r="E850">
        <v>119101</v>
      </c>
      <c r="F850" t="s">
        <v>115</v>
      </c>
      <c r="G850" t="s">
        <v>64</v>
      </c>
      <c r="H850">
        <v>0</v>
      </c>
      <c r="I850">
        <v>0</v>
      </c>
      <c r="J850">
        <v>0</v>
      </c>
      <c r="K850">
        <v>0</v>
      </c>
      <c r="L850">
        <v>0</v>
      </c>
    </row>
    <row r="851" spans="1:12" x14ac:dyDescent="0.25">
      <c r="A851" t="str">
        <f t="shared" si="13"/>
        <v>9202011191012026M03</v>
      </c>
      <c r="B851">
        <v>51321001</v>
      </c>
      <c r="C851">
        <v>11</v>
      </c>
      <c r="D851">
        <v>920201</v>
      </c>
      <c r="E851">
        <v>119101</v>
      </c>
      <c r="F851" t="s">
        <v>115</v>
      </c>
      <c r="G851" t="s">
        <v>65</v>
      </c>
      <c r="H851">
        <v>127600</v>
      </c>
      <c r="I851">
        <v>127600</v>
      </c>
      <c r="J851">
        <v>0</v>
      </c>
      <c r="K851">
        <v>0</v>
      </c>
      <c r="L851">
        <v>0</v>
      </c>
    </row>
    <row r="852" spans="1:12" x14ac:dyDescent="0.25">
      <c r="A852" t="str">
        <f t="shared" si="13"/>
        <v>9202011191012026M04</v>
      </c>
      <c r="B852">
        <v>51321001</v>
      </c>
      <c r="C852">
        <v>11</v>
      </c>
      <c r="D852">
        <v>920201</v>
      </c>
      <c r="E852">
        <v>119101</v>
      </c>
      <c r="F852" t="s">
        <v>115</v>
      </c>
      <c r="G852" t="s">
        <v>66</v>
      </c>
      <c r="H852">
        <v>63800</v>
      </c>
      <c r="I852">
        <v>63800</v>
      </c>
      <c r="J852">
        <v>0</v>
      </c>
      <c r="K852">
        <v>0</v>
      </c>
      <c r="L852">
        <v>0</v>
      </c>
    </row>
    <row r="853" spans="1:12" x14ac:dyDescent="0.25">
      <c r="A853" t="str">
        <f t="shared" si="13"/>
        <v>9202011191012026M05</v>
      </c>
      <c r="B853">
        <v>51321001</v>
      </c>
      <c r="C853">
        <v>11</v>
      </c>
      <c r="D853">
        <v>920201</v>
      </c>
      <c r="E853">
        <v>119101</v>
      </c>
      <c r="F853" t="s">
        <v>115</v>
      </c>
      <c r="G853" t="s">
        <v>67</v>
      </c>
      <c r="H853">
        <v>63800</v>
      </c>
      <c r="I853">
        <v>63800</v>
      </c>
      <c r="J853">
        <v>0</v>
      </c>
      <c r="K853">
        <v>0</v>
      </c>
      <c r="L853">
        <v>0</v>
      </c>
    </row>
    <row r="854" spans="1:12" x14ac:dyDescent="0.25">
      <c r="A854" t="str">
        <f t="shared" si="13"/>
        <v>9202011191012026M06</v>
      </c>
      <c r="B854">
        <v>51321001</v>
      </c>
      <c r="C854">
        <v>11</v>
      </c>
      <c r="D854">
        <v>920201</v>
      </c>
      <c r="E854">
        <v>119101</v>
      </c>
      <c r="F854" t="s">
        <v>115</v>
      </c>
      <c r="G854" t="s">
        <v>68</v>
      </c>
      <c r="H854">
        <v>63800</v>
      </c>
      <c r="I854">
        <v>63800</v>
      </c>
      <c r="J854">
        <v>0</v>
      </c>
      <c r="K854">
        <v>0</v>
      </c>
      <c r="L854">
        <v>0</v>
      </c>
    </row>
    <row r="855" spans="1:12" x14ac:dyDescent="0.25">
      <c r="A855" t="str">
        <f t="shared" si="13"/>
        <v>9202011191012026M07</v>
      </c>
      <c r="B855">
        <v>51321001</v>
      </c>
      <c r="C855">
        <v>11</v>
      </c>
      <c r="D855">
        <v>920201</v>
      </c>
      <c r="E855">
        <v>119101</v>
      </c>
      <c r="F855" t="s">
        <v>115</v>
      </c>
      <c r="G855" t="s">
        <v>69</v>
      </c>
      <c r="H855">
        <v>63800</v>
      </c>
      <c r="I855">
        <v>63800</v>
      </c>
      <c r="J855">
        <v>0</v>
      </c>
      <c r="K855">
        <v>0</v>
      </c>
      <c r="L855">
        <v>0</v>
      </c>
    </row>
    <row r="856" spans="1:12" x14ac:dyDescent="0.25">
      <c r="A856" t="str">
        <f t="shared" si="13"/>
        <v>9202011191012026M08</v>
      </c>
      <c r="B856">
        <v>51321001</v>
      </c>
      <c r="C856">
        <v>11</v>
      </c>
      <c r="D856">
        <v>920201</v>
      </c>
      <c r="E856">
        <v>119101</v>
      </c>
      <c r="F856" t="s">
        <v>115</v>
      </c>
      <c r="G856" t="s">
        <v>70</v>
      </c>
      <c r="H856">
        <v>63800</v>
      </c>
      <c r="I856">
        <v>63800</v>
      </c>
      <c r="J856">
        <v>0</v>
      </c>
      <c r="K856">
        <v>0</v>
      </c>
      <c r="L856">
        <v>0</v>
      </c>
    </row>
    <row r="857" spans="1:12" x14ac:dyDescent="0.25">
      <c r="A857" t="str">
        <f t="shared" si="13"/>
        <v>9202011191012026M09</v>
      </c>
      <c r="B857">
        <v>51321001</v>
      </c>
      <c r="C857">
        <v>11</v>
      </c>
      <c r="D857">
        <v>920201</v>
      </c>
      <c r="E857">
        <v>119101</v>
      </c>
      <c r="F857" t="s">
        <v>115</v>
      </c>
      <c r="G857" t="s">
        <v>71</v>
      </c>
      <c r="H857">
        <v>63800</v>
      </c>
      <c r="I857">
        <v>63800</v>
      </c>
      <c r="J857">
        <v>0</v>
      </c>
      <c r="K857">
        <v>0</v>
      </c>
      <c r="L857">
        <v>0</v>
      </c>
    </row>
    <row r="858" spans="1:12" x14ac:dyDescent="0.25">
      <c r="A858" t="str">
        <f t="shared" si="13"/>
        <v>9202011191012026M10</v>
      </c>
      <c r="B858">
        <v>51321001</v>
      </c>
      <c r="C858">
        <v>11</v>
      </c>
      <c r="D858">
        <v>920201</v>
      </c>
      <c r="E858">
        <v>119101</v>
      </c>
      <c r="F858" t="s">
        <v>115</v>
      </c>
      <c r="G858" t="s">
        <v>72</v>
      </c>
      <c r="H858">
        <v>63800</v>
      </c>
      <c r="I858">
        <v>0</v>
      </c>
      <c r="J858">
        <v>63800</v>
      </c>
      <c r="K858">
        <v>0</v>
      </c>
      <c r="L858">
        <v>0</v>
      </c>
    </row>
    <row r="859" spans="1:12" x14ac:dyDescent="0.25">
      <c r="A859" t="str">
        <f t="shared" si="13"/>
        <v>9202011191012026M11</v>
      </c>
      <c r="B859">
        <v>51321001</v>
      </c>
      <c r="C859">
        <v>11</v>
      </c>
      <c r="D859">
        <v>920201</v>
      </c>
      <c r="E859">
        <v>119101</v>
      </c>
      <c r="F859" t="s">
        <v>115</v>
      </c>
      <c r="G859" t="s">
        <v>73</v>
      </c>
      <c r="H859">
        <v>63800</v>
      </c>
      <c r="I859">
        <v>0</v>
      </c>
      <c r="J859">
        <v>63800</v>
      </c>
      <c r="K859">
        <v>0</v>
      </c>
      <c r="L859">
        <v>0</v>
      </c>
    </row>
    <row r="860" spans="1:12" x14ac:dyDescent="0.25">
      <c r="A860" t="str">
        <f t="shared" si="13"/>
        <v>9202011191012026M12</v>
      </c>
      <c r="B860">
        <v>51321001</v>
      </c>
      <c r="C860">
        <v>11</v>
      </c>
      <c r="D860">
        <v>920201</v>
      </c>
      <c r="E860">
        <v>119101</v>
      </c>
      <c r="F860" t="s">
        <v>115</v>
      </c>
      <c r="G860" t="s">
        <v>74</v>
      </c>
      <c r="H860">
        <v>127600</v>
      </c>
      <c r="I860">
        <v>0</v>
      </c>
      <c r="J860">
        <v>127600</v>
      </c>
      <c r="K860">
        <v>0</v>
      </c>
      <c r="L860">
        <v>0</v>
      </c>
    </row>
    <row r="861" spans="1:12" x14ac:dyDescent="0.25">
      <c r="A861" t="str">
        <f t="shared" si="13"/>
        <v>9202011191112026M02</v>
      </c>
      <c r="B861">
        <v>51321001</v>
      </c>
      <c r="C861">
        <v>11</v>
      </c>
      <c r="D861">
        <v>920201</v>
      </c>
      <c r="E861">
        <v>119111</v>
      </c>
      <c r="F861" t="s">
        <v>115</v>
      </c>
      <c r="G861" t="s">
        <v>64</v>
      </c>
      <c r="H861">
        <v>0</v>
      </c>
      <c r="I861">
        <v>0</v>
      </c>
      <c r="J861">
        <v>0</v>
      </c>
      <c r="K861">
        <v>0</v>
      </c>
      <c r="L861">
        <v>0</v>
      </c>
    </row>
    <row r="862" spans="1:12" x14ac:dyDescent="0.25">
      <c r="A862" t="str">
        <f t="shared" si="13"/>
        <v>9202011191112026M03</v>
      </c>
      <c r="B862">
        <v>51321001</v>
      </c>
      <c r="C862">
        <v>11</v>
      </c>
      <c r="D862">
        <v>920201</v>
      </c>
      <c r="E862">
        <v>119111</v>
      </c>
      <c r="F862" t="s">
        <v>115</v>
      </c>
      <c r="G862" t="s">
        <v>65</v>
      </c>
      <c r="H862">
        <v>139200</v>
      </c>
      <c r="I862">
        <v>139200</v>
      </c>
      <c r="J862">
        <v>0</v>
      </c>
      <c r="K862">
        <v>0</v>
      </c>
      <c r="L862">
        <v>0</v>
      </c>
    </row>
    <row r="863" spans="1:12" x14ac:dyDescent="0.25">
      <c r="A863" t="str">
        <f t="shared" si="13"/>
        <v>9202011191112026M04</v>
      </c>
      <c r="B863">
        <v>51321001</v>
      </c>
      <c r="C863">
        <v>11</v>
      </c>
      <c r="D863">
        <v>920201</v>
      </c>
      <c r="E863">
        <v>119111</v>
      </c>
      <c r="F863" t="s">
        <v>115</v>
      </c>
      <c r="G863" t="s">
        <v>66</v>
      </c>
      <c r="H863">
        <v>69600</v>
      </c>
      <c r="I863">
        <v>69600</v>
      </c>
      <c r="J863">
        <v>0</v>
      </c>
      <c r="K863">
        <v>0</v>
      </c>
      <c r="L863">
        <v>0</v>
      </c>
    </row>
    <row r="864" spans="1:12" x14ac:dyDescent="0.25">
      <c r="A864" t="str">
        <f t="shared" si="13"/>
        <v>9202011191112026M05</v>
      </c>
      <c r="B864">
        <v>51321001</v>
      </c>
      <c r="C864">
        <v>11</v>
      </c>
      <c r="D864">
        <v>920201</v>
      </c>
      <c r="E864">
        <v>119111</v>
      </c>
      <c r="F864" t="s">
        <v>115</v>
      </c>
      <c r="G864" t="s">
        <v>67</v>
      </c>
      <c r="H864">
        <v>69600</v>
      </c>
      <c r="I864">
        <v>69600</v>
      </c>
      <c r="J864">
        <v>0</v>
      </c>
      <c r="K864">
        <v>0</v>
      </c>
      <c r="L864">
        <v>0</v>
      </c>
    </row>
    <row r="865" spans="1:12" x14ac:dyDescent="0.25">
      <c r="A865" t="str">
        <f t="shared" si="13"/>
        <v>9202011191112026M06</v>
      </c>
      <c r="B865">
        <v>51321001</v>
      </c>
      <c r="C865">
        <v>11</v>
      </c>
      <c r="D865">
        <v>920201</v>
      </c>
      <c r="E865">
        <v>119111</v>
      </c>
      <c r="F865" t="s">
        <v>115</v>
      </c>
      <c r="G865" t="s">
        <v>68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 x14ac:dyDescent="0.25">
      <c r="A866" t="str">
        <f t="shared" si="13"/>
        <v>9202011191112026M07</v>
      </c>
      <c r="B866">
        <v>51321001</v>
      </c>
      <c r="C866">
        <v>11</v>
      </c>
      <c r="D866">
        <v>920201</v>
      </c>
      <c r="E866">
        <v>119111</v>
      </c>
      <c r="F866" t="s">
        <v>115</v>
      </c>
      <c r="G866" t="s">
        <v>69</v>
      </c>
      <c r="H866">
        <v>139200</v>
      </c>
      <c r="I866">
        <v>139200</v>
      </c>
      <c r="J866">
        <v>0</v>
      </c>
      <c r="K866">
        <v>0</v>
      </c>
      <c r="L866">
        <v>0</v>
      </c>
    </row>
    <row r="867" spans="1:12" x14ac:dyDescent="0.25">
      <c r="A867" t="str">
        <f t="shared" si="13"/>
        <v>9202011191112026M08</v>
      </c>
      <c r="B867">
        <v>51321001</v>
      </c>
      <c r="C867">
        <v>11</v>
      </c>
      <c r="D867">
        <v>920201</v>
      </c>
      <c r="E867">
        <v>119111</v>
      </c>
      <c r="F867" t="s">
        <v>115</v>
      </c>
      <c r="G867" t="s">
        <v>70</v>
      </c>
      <c r="H867">
        <v>69600</v>
      </c>
      <c r="I867">
        <v>69600</v>
      </c>
      <c r="J867">
        <v>0</v>
      </c>
      <c r="K867">
        <v>0</v>
      </c>
      <c r="L867">
        <v>0</v>
      </c>
    </row>
    <row r="868" spans="1:12" x14ac:dyDescent="0.25">
      <c r="A868" t="str">
        <f t="shared" si="13"/>
        <v>9202011191112026M09</v>
      </c>
      <c r="B868">
        <v>51321001</v>
      </c>
      <c r="C868">
        <v>11</v>
      </c>
      <c r="D868">
        <v>920201</v>
      </c>
      <c r="E868">
        <v>119111</v>
      </c>
      <c r="F868" t="s">
        <v>115</v>
      </c>
      <c r="G868" t="s">
        <v>71</v>
      </c>
      <c r="H868">
        <v>69600</v>
      </c>
      <c r="I868">
        <v>69600</v>
      </c>
      <c r="J868">
        <v>0</v>
      </c>
      <c r="K868">
        <v>0</v>
      </c>
      <c r="L868">
        <v>0</v>
      </c>
    </row>
    <row r="869" spans="1:12" x14ac:dyDescent="0.25">
      <c r="A869" t="str">
        <f t="shared" si="13"/>
        <v>9202011191112026M10</v>
      </c>
      <c r="B869">
        <v>51321001</v>
      </c>
      <c r="C869">
        <v>11</v>
      </c>
      <c r="D869">
        <v>920201</v>
      </c>
      <c r="E869">
        <v>119111</v>
      </c>
      <c r="F869" t="s">
        <v>115</v>
      </c>
      <c r="G869" t="s">
        <v>72</v>
      </c>
      <c r="H869">
        <v>69600</v>
      </c>
      <c r="I869">
        <v>0</v>
      </c>
      <c r="J869">
        <v>69600</v>
      </c>
      <c r="K869">
        <v>0</v>
      </c>
      <c r="L869">
        <v>0</v>
      </c>
    </row>
    <row r="870" spans="1:12" x14ac:dyDescent="0.25">
      <c r="A870" t="str">
        <f t="shared" si="13"/>
        <v>9202011191112026M11</v>
      </c>
      <c r="B870">
        <v>51321001</v>
      </c>
      <c r="C870">
        <v>11</v>
      </c>
      <c r="D870">
        <v>920201</v>
      </c>
      <c r="E870">
        <v>119111</v>
      </c>
      <c r="F870" t="s">
        <v>115</v>
      </c>
      <c r="G870" t="s">
        <v>73</v>
      </c>
      <c r="H870">
        <v>69600</v>
      </c>
      <c r="I870">
        <v>0</v>
      </c>
      <c r="J870">
        <v>69600</v>
      </c>
      <c r="K870">
        <v>0</v>
      </c>
      <c r="L870">
        <v>0</v>
      </c>
    </row>
    <row r="871" spans="1:12" x14ac:dyDescent="0.25">
      <c r="A871" t="str">
        <f t="shared" si="13"/>
        <v>9202011191112026M12</v>
      </c>
      <c r="B871">
        <v>51321001</v>
      </c>
      <c r="C871">
        <v>11</v>
      </c>
      <c r="D871">
        <v>920201</v>
      </c>
      <c r="E871">
        <v>119111</v>
      </c>
      <c r="F871" t="s">
        <v>115</v>
      </c>
      <c r="G871" t="s">
        <v>74</v>
      </c>
      <c r="H871">
        <v>139200</v>
      </c>
      <c r="I871">
        <v>0</v>
      </c>
      <c r="J871">
        <v>139200</v>
      </c>
      <c r="K871">
        <v>0</v>
      </c>
      <c r="L871">
        <v>0</v>
      </c>
    </row>
    <row r="872" spans="1:12" x14ac:dyDescent="0.25">
      <c r="A872" t="str">
        <f t="shared" si="13"/>
        <v>2002001224092026M02</v>
      </c>
      <c r="B872">
        <v>51321001</v>
      </c>
      <c r="C872">
        <v>12</v>
      </c>
      <c r="D872">
        <v>200200</v>
      </c>
      <c r="E872">
        <v>122409</v>
      </c>
      <c r="F872" t="s">
        <v>115</v>
      </c>
      <c r="G872" t="s">
        <v>64</v>
      </c>
      <c r="H872">
        <v>0</v>
      </c>
      <c r="I872">
        <v>0</v>
      </c>
      <c r="J872">
        <v>0</v>
      </c>
      <c r="K872">
        <v>0</v>
      </c>
      <c r="L872">
        <v>0</v>
      </c>
    </row>
    <row r="873" spans="1:12" x14ac:dyDescent="0.25">
      <c r="A873" t="str">
        <f t="shared" si="13"/>
        <v>2002001224092026M03</v>
      </c>
      <c r="B873">
        <v>51321001</v>
      </c>
      <c r="C873">
        <v>12</v>
      </c>
      <c r="D873">
        <v>200200</v>
      </c>
      <c r="E873">
        <v>122409</v>
      </c>
      <c r="F873" t="s">
        <v>115</v>
      </c>
      <c r="G873" t="s">
        <v>65</v>
      </c>
      <c r="H873">
        <v>0</v>
      </c>
      <c r="I873">
        <v>0</v>
      </c>
      <c r="J873">
        <v>0</v>
      </c>
      <c r="K873">
        <v>0</v>
      </c>
      <c r="L873">
        <v>0</v>
      </c>
    </row>
    <row r="874" spans="1:12" x14ac:dyDescent="0.25">
      <c r="A874" t="str">
        <f t="shared" si="13"/>
        <v>2002001224092026M04</v>
      </c>
      <c r="B874">
        <v>51321001</v>
      </c>
      <c r="C874">
        <v>12</v>
      </c>
      <c r="D874">
        <v>200200</v>
      </c>
      <c r="E874">
        <v>122409</v>
      </c>
      <c r="F874" t="s">
        <v>115</v>
      </c>
      <c r="G874" t="s">
        <v>66</v>
      </c>
      <c r="H874">
        <v>0</v>
      </c>
      <c r="I874">
        <v>0</v>
      </c>
      <c r="J874">
        <v>0</v>
      </c>
      <c r="K874">
        <v>0</v>
      </c>
      <c r="L874">
        <v>0</v>
      </c>
    </row>
    <row r="875" spans="1:12" x14ac:dyDescent="0.25">
      <c r="A875" t="str">
        <f t="shared" si="13"/>
        <v>2002001224092026M05</v>
      </c>
      <c r="B875">
        <v>51321001</v>
      </c>
      <c r="C875">
        <v>12</v>
      </c>
      <c r="D875">
        <v>200200</v>
      </c>
      <c r="E875">
        <v>122409</v>
      </c>
      <c r="F875" t="s">
        <v>115</v>
      </c>
      <c r="G875" t="s">
        <v>67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x14ac:dyDescent="0.25">
      <c r="A876" t="str">
        <f t="shared" si="13"/>
        <v>2002001224092026M06</v>
      </c>
      <c r="B876">
        <v>51321001</v>
      </c>
      <c r="C876">
        <v>12</v>
      </c>
      <c r="D876">
        <v>200200</v>
      </c>
      <c r="E876">
        <v>122409</v>
      </c>
      <c r="F876" t="s">
        <v>115</v>
      </c>
      <c r="G876" t="s">
        <v>68</v>
      </c>
      <c r="H876">
        <v>28123.05</v>
      </c>
      <c r="I876">
        <v>28123.05</v>
      </c>
      <c r="J876">
        <v>0</v>
      </c>
      <c r="K876">
        <v>0</v>
      </c>
      <c r="L876">
        <v>0</v>
      </c>
    </row>
    <row r="877" spans="1:12" x14ac:dyDescent="0.25">
      <c r="A877" t="str">
        <f t="shared" si="13"/>
        <v>2002001224092026M07</v>
      </c>
      <c r="B877">
        <v>51321001</v>
      </c>
      <c r="C877">
        <v>12</v>
      </c>
      <c r="D877">
        <v>200200</v>
      </c>
      <c r="E877">
        <v>122409</v>
      </c>
      <c r="F877" t="s">
        <v>115</v>
      </c>
      <c r="G877" t="s">
        <v>69</v>
      </c>
      <c r="H877">
        <v>7030.77</v>
      </c>
      <c r="I877">
        <v>7030.77</v>
      </c>
      <c r="J877">
        <v>0</v>
      </c>
      <c r="K877">
        <v>0</v>
      </c>
      <c r="L877">
        <v>0</v>
      </c>
    </row>
    <row r="878" spans="1:12" x14ac:dyDescent="0.25">
      <c r="A878" t="str">
        <f t="shared" si="13"/>
        <v>2002001224092026M08</v>
      </c>
      <c r="B878">
        <v>51321001</v>
      </c>
      <c r="C878">
        <v>12</v>
      </c>
      <c r="D878">
        <v>200200</v>
      </c>
      <c r="E878">
        <v>122409</v>
      </c>
      <c r="F878" t="s">
        <v>115</v>
      </c>
      <c r="G878" t="s">
        <v>70</v>
      </c>
      <c r="H878">
        <v>14061.48</v>
      </c>
      <c r="I878">
        <v>14061.48</v>
      </c>
      <c r="J878">
        <v>0</v>
      </c>
      <c r="K878">
        <v>0</v>
      </c>
      <c r="L878">
        <v>0</v>
      </c>
    </row>
    <row r="879" spans="1:12" x14ac:dyDescent="0.25">
      <c r="A879" t="str">
        <f t="shared" si="13"/>
        <v>2002001224092026M09</v>
      </c>
      <c r="B879">
        <v>51321001</v>
      </c>
      <c r="C879">
        <v>12</v>
      </c>
      <c r="D879">
        <v>200200</v>
      </c>
      <c r="E879">
        <v>122409</v>
      </c>
      <c r="F879" t="s">
        <v>115</v>
      </c>
      <c r="G879" t="s">
        <v>71</v>
      </c>
      <c r="H879">
        <v>7030.77</v>
      </c>
      <c r="I879">
        <v>7030.77</v>
      </c>
      <c r="J879">
        <v>0</v>
      </c>
      <c r="K879">
        <v>0</v>
      </c>
      <c r="L879">
        <v>0</v>
      </c>
    </row>
    <row r="880" spans="1:12" x14ac:dyDescent="0.25">
      <c r="A880" t="str">
        <f t="shared" si="13"/>
        <v>2002001224092026M10</v>
      </c>
      <c r="B880">
        <v>51321001</v>
      </c>
      <c r="C880">
        <v>12</v>
      </c>
      <c r="D880">
        <v>200200</v>
      </c>
      <c r="E880">
        <v>122409</v>
      </c>
      <c r="F880" t="s">
        <v>115</v>
      </c>
      <c r="G880" t="s">
        <v>72</v>
      </c>
      <c r="H880">
        <v>7030.77</v>
      </c>
      <c r="I880">
        <v>0</v>
      </c>
      <c r="J880">
        <v>7030.77</v>
      </c>
      <c r="K880">
        <v>0</v>
      </c>
      <c r="L880">
        <v>0</v>
      </c>
    </row>
    <row r="881" spans="1:12" x14ac:dyDescent="0.25">
      <c r="A881" t="str">
        <f t="shared" si="13"/>
        <v>2002001224092026M11</v>
      </c>
      <c r="B881">
        <v>51321001</v>
      </c>
      <c r="C881">
        <v>12</v>
      </c>
      <c r="D881">
        <v>200200</v>
      </c>
      <c r="E881">
        <v>122409</v>
      </c>
      <c r="F881" t="s">
        <v>115</v>
      </c>
      <c r="G881" t="s">
        <v>73</v>
      </c>
      <c r="H881">
        <v>7030.76</v>
      </c>
      <c r="I881">
        <v>0</v>
      </c>
      <c r="J881">
        <v>7030.76</v>
      </c>
      <c r="K881">
        <v>0</v>
      </c>
      <c r="L881">
        <v>0</v>
      </c>
    </row>
    <row r="882" spans="1:12" x14ac:dyDescent="0.25">
      <c r="A882" t="str">
        <f t="shared" si="13"/>
        <v>2002001224092026M12</v>
      </c>
      <c r="B882">
        <v>51321001</v>
      </c>
      <c r="C882">
        <v>12</v>
      </c>
      <c r="D882">
        <v>200200</v>
      </c>
      <c r="E882">
        <v>122409</v>
      </c>
      <c r="F882" t="s">
        <v>115</v>
      </c>
      <c r="G882" t="s">
        <v>74</v>
      </c>
      <c r="H882">
        <v>14061.52</v>
      </c>
      <c r="I882">
        <v>0</v>
      </c>
      <c r="J882">
        <v>14061.52</v>
      </c>
      <c r="K882">
        <v>0</v>
      </c>
      <c r="L882">
        <v>0</v>
      </c>
    </row>
    <row r="883" spans="1:12" x14ac:dyDescent="0.25">
      <c r="A883" t="str">
        <f t="shared" si="13"/>
        <v>2002001224152026M02</v>
      </c>
      <c r="B883">
        <v>51321001</v>
      </c>
      <c r="C883">
        <v>12</v>
      </c>
      <c r="D883">
        <v>200200</v>
      </c>
      <c r="E883">
        <v>122415</v>
      </c>
      <c r="F883" t="s">
        <v>115</v>
      </c>
      <c r="G883" t="s">
        <v>64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25">
      <c r="A884" t="str">
        <f t="shared" si="13"/>
        <v>2002001224152026M03</v>
      </c>
      <c r="B884">
        <v>51321001</v>
      </c>
      <c r="C884">
        <v>12</v>
      </c>
      <c r="D884">
        <v>200200</v>
      </c>
      <c r="E884">
        <v>122415</v>
      </c>
      <c r="F884" t="s">
        <v>115</v>
      </c>
      <c r="G884" t="s">
        <v>65</v>
      </c>
      <c r="H884">
        <v>0</v>
      </c>
      <c r="I884">
        <v>0</v>
      </c>
      <c r="J884">
        <v>0</v>
      </c>
      <c r="K884">
        <v>0</v>
      </c>
      <c r="L884">
        <v>0</v>
      </c>
    </row>
    <row r="885" spans="1:12" x14ac:dyDescent="0.25">
      <c r="A885" t="str">
        <f t="shared" si="13"/>
        <v>2002001224152026M04</v>
      </c>
      <c r="B885">
        <v>51321001</v>
      </c>
      <c r="C885">
        <v>12</v>
      </c>
      <c r="D885">
        <v>200200</v>
      </c>
      <c r="E885">
        <v>122415</v>
      </c>
      <c r="F885" t="s">
        <v>115</v>
      </c>
      <c r="G885" t="s">
        <v>66</v>
      </c>
      <c r="H885">
        <v>0</v>
      </c>
      <c r="I885">
        <v>0</v>
      </c>
      <c r="J885">
        <v>0</v>
      </c>
      <c r="K885">
        <v>0</v>
      </c>
      <c r="L885">
        <v>0</v>
      </c>
    </row>
    <row r="886" spans="1:12" x14ac:dyDescent="0.25">
      <c r="A886" t="str">
        <f t="shared" si="13"/>
        <v>2002001224152026M05</v>
      </c>
      <c r="B886">
        <v>51321001</v>
      </c>
      <c r="C886">
        <v>12</v>
      </c>
      <c r="D886">
        <v>200200</v>
      </c>
      <c r="E886">
        <v>122415</v>
      </c>
      <c r="F886" t="s">
        <v>115</v>
      </c>
      <c r="G886" t="s">
        <v>67</v>
      </c>
      <c r="H886">
        <v>14758.69</v>
      </c>
      <c r="I886">
        <v>14758.69</v>
      </c>
      <c r="J886">
        <v>0</v>
      </c>
      <c r="K886">
        <v>0</v>
      </c>
      <c r="L886">
        <v>0</v>
      </c>
    </row>
    <row r="887" spans="1:12" x14ac:dyDescent="0.25">
      <c r="A887" t="str">
        <f t="shared" si="13"/>
        <v>2002001224152026M06</v>
      </c>
      <c r="B887">
        <v>51321001</v>
      </c>
      <c r="C887">
        <v>12</v>
      </c>
      <c r="D887">
        <v>200200</v>
      </c>
      <c r="E887">
        <v>122415</v>
      </c>
      <c r="F887" t="s">
        <v>115</v>
      </c>
      <c r="G887" t="s">
        <v>68</v>
      </c>
      <c r="H887">
        <v>4919.5600000000004</v>
      </c>
      <c r="I887">
        <v>4919.5600000000004</v>
      </c>
      <c r="J887">
        <v>0</v>
      </c>
      <c r="K887">
        <v>0</v>
      </c>
      <c r="L887">
        <v>0</v>
      </c>
    </row>
    <row r="888" spans="1:12" x14ac:dyDescent="0.25">
      <c r="A888" t="str">
        <f t="shared" si="13"/>
        <v>2002001224152026M07</v>
      </c>
      <c r="B888">
        <v>51321001</v>
      </c>
      <c r="C888">
        <v>12</v>
      </c>
      <c r="D888">
        <v>200200</v>
      </c>
      <c r="E888">
        <v>122415</v>
      </c>
      <c r="F888" t="s">
        <v>115</v>
      </c>
      <c r="G888" t="s">
        <v>69</v>
      </c>
      <c r="H888">
        <v>4919.5600000000004</v>
      </c>
      <c r="I888">
        <v>4919.5600000000004</v>
      </c>
      <c r="J888">
        <v>0</v>
      </c>
      <c r="K888">
        <v>0</v>
      </c>
      <c r="L888">
        <v>0</v>
      </c>
    </row>
    <row r="889" spans="1:12" x14ac:dyDescent="0.25">
      <c r="A889" t="str">
        <f t="shared" si="13"/>
        <v>2002001224152026M08</v>
      </c>
      <c r="B889">
        <v>51321001</v>
      </c>
      <c r="C889">
        <v>12</v>
      </c>
      <c r="D889">
        <v>200200</v>
      </c>
      <c r="E889">
        <v>122415</v>
      </c>
      <c r="F889" t="s">
        <v>115</v>
      </c>
      <c r="G889" t="s">
        <v>70</v>
      </c>
      <c r="H889">
        <v>9839.1</v>
      </c>
      <c r="I889">
        <v>9839.1</v>
      </c>
      <c r="J889">
        <v>0</v>
      </c>
      <c r="K889">
        <v>0</v>
      </c>
      <c r="L889">
        <v>0</v>
      </c>
    </row>
    <row r="890" spans="1:12" x14ac:dyDescent="0.25">
      <c r="A890" t="str">
        <f t="shared" si="13"/>
        <v>2002001224152026M09</v>
      </c>
      <c r="B890">
        <v>51321001</v>
      </c>
      <c r="C890">
        <v>12</v>
      </c>
      <c r="D890">
        <v>200200</v>
      </c>
      <c r="E890">
        <v>122415</v>
      </c>
      <c r="F890" t="s">
        <v>115</v>
      </c>
      <c r="G890" t="s">
        <v>71</v>
      </c>
      <c r="H890">
        <v>4919.5600000000004</v>
      </c>
      <c r="I890">
        <v>4919.5600000000004</v>
      </c>
      <c r="J890">
        <v>0</v>
      </c>
      <c r="K890">
        <v>0</v>
      </c>
      <c r="L890">
        <v>0</v>
      </c>
    </row>
    <row r="891" spans="1:12" x14ac:dyDescent="0.25">
      <c r="A891" t="str">
        <f t="shared" si="13"/>
        <v>2002001224152026M10</v>
      </c>
      <c r="B891">
        <v>51321001</v>
      </c>
      <c r="C891">
        <v>12</v>
      </c>
      <c r="D891">
        <v>200200</v>
      </c>
      <c r="E891">
        <v>122415</v>
      </c>
      <c r="F891" t="s">
        <v>115</v>
      </c>
      <c r="G891" t="s">
        <v>72</v>
      </c>
      <c r="H891">
        <v>4919.57</v>
      </c>
      <c r="I891">
        <v>0</v>
      </c>
      <c r="J891">
        <v>4919.57</v>
      </c>
      <c r="K891">
        <v>0</v>
      </c>
      <c r="L891">
        <v>0</v>
      </c>
    </row>
    <row r="892" spans="1:12" x14ac:dyDescent="0.25">
      <c r="A892" t="str">
        <f t="shared" si="13"/>
        <v>2002001224152026M11</v>
      </c>
      <c r="B892">
        <v>51321001</v>
      </c>
      <c r="C892">
        <v>12</v>
      </c>
      <c r="D892">
        <v>200200</v>
      </c>
      <c r="E892">
        <v>122415</v>
      </c>
      <c r="F892" t="s">
        <v>115</v>
      </c>
      <c r="G892" t="s">
        <v>73</v>
      </c>
      <c r="H892">
        <v>4919.5600000000004</v>
      </c>
      <c r="I892">
        <v>0</v>
      </c>
      <c r="J892">
        <v>4919.5600000000004</v>
      </c>
      <c r="K892">
        <v>0</v>
      </c>
      <c r="L892">
        <v>0</v>
      </c>
    </row>
    <row r="893" spans="1:12" x14ac:dyDescent="0.25">
      <c r="A893" t="str">
        <f t="shared" si="13"/>
        <v>2002001224152026M12</v>
      </c>
      <c r="B893">
        <v>51321001</v>
      </c>
      <c r="C893">
        <v>12</v>
      </c>
      <c r="D893">
        <v>200200</v>
      </c>
      <c r="E893">
        <v>122415</v>
      </c>
      <c r="F893" t="s">
        <v>115</v>
      </c>
      <c r="G893" t="s">
        <v>74</v>
      </c>
      <c r="H893">
        <v>9839.1200000000008</v>
      </c>
      <c r="I893">
        <v>0</v>
      </c>
      <c r="J893">
        <v>9839.1200000000008</v>
      </c>
      <c r="K893">
        <v>0</v>
      </c>
      <c r="L893">
        <v>0</v>
      </c>
    </row>
    <row r="894" spans="1:12" x14ac:dyDescent="0.25">
      <c r="A894" t="str">
        <f t="shared" si="13"/>
        <v>2002011202012026M02</v>
      </c>
      <c r="B894">
        <v>51321001</v>
      </c>
      <c r="C894">
        <v>12</v>
      </c>
      <c r="D894">
        <v>200201</v>
      </c>
      <c r="E894">
        <v>120201</v>
      </c>
      <c r="F894" t="s">
        <v>115</v>
      </c>
      <c r="G894" t="s">
        <v>64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x14ac:dyDescent="0.25">
      <c r="A895" t="str">
        <f t="shared" si="13"/>
        <v>2002011202012026M03</v>
      </c>
      <c r="B895">
        <v>51321001</v>
      </c>
      <c r="C895">
        <v>12</v>
      </c>
      <c r="D895">
        <v>200201</v>
      </c>
      <c r="E895">
        <v>120201</v>
      </c>
      <c r="F895" t="s">
        <v>115</v>
      </c>
      <c r="G895" t="s">
        <v>65</v>
      </c>
      <c r="H895">
        <v>0</v>
      </c>
      <c r="I895">
        <v>0</v>
      </c>
      <c r="J895">
        <v>0</v>
      </c>
      <c r="K895">
        <v>0</v>
      </c>
      <c r="L895">
        <v>0</v>
      </c>
    </row>
    <row r="896" spans="1:12" x14ac:dyDescent="0.25">
      <c r="A896" t="str">
        <f t="shared" si="13"/>
        <v>2002011202012026M04</v>
      </c>
      <c r="B896">
        <v>51321001</v>
      </c>
      <c r="C896">
        <v>12</v>
      </c>
      <c r="D896">
        <v>200201</v>
      </c>
      <c r="E896">
        <v>120201</v>
      </c>
      <c r="F896" t="s">
        <v>115</v>
      </c>
      <c r="G896" t="s">
        <v>66</v>
      </c>
      <c r="H896">
        <v>19139.39</v>
      </c>
      <c r="I896">
        <v>19139.39</v>
      </c>
      <c r="J896">
        <v>0</v>
      </c>
      <c r="K896">
        <v>0</v>
      </c>
      <c r="L896">
        <v>0</v>
      </c>
    </row>
    <row r="897" spans="1:12" x14ac:dyDescent="0.25">
      <c r="A897" t="str">
        <f t="shared" si="13"/>
        <v>2002011202012026M05</v>
      </c>
      <c r="B897">
        <v>51321001</v>
      </c>
      <c r="C897">
        <v>12</v>
      </c>
      <c r="D897">
        <v>200201</v>
      </c>
      <c r="E897">
        <v>120201</v>
      </c>
      <c r="F897" t="s">
        <v>115</v>
      </c>
      <c r="G897" t="s">
        <v>67</v>
      </c>
      <c r="H897">
        <v>6379.8</v>
      </c>
      <c r="I897">
        <v>6379.8</v>
      </c>
      <c r="J897">
        <v>0</v>
      </c>
      <c r="K897">
        <v>0</v>
      </c>
      <c r="L897">
        <v>0</v>
      </c>
    </row>
    <row r="898" spans="1:12" x14ac:dyDescent="0.25">
      <c r="A898" t="str">
        <f t="shared" si="13"/>
        <v>2002011202012026M06</v>
      </c>
      <c r="B898">
        <v>51321001</v>
      </c>
      <c r="C898">
        <v>12</v>
      </c>
      <c r="D898">
        <v>200201</v>
      </c>
      <c r="E898">
        <v>120201</v>
      </c>
      <c r="F898" t="s">
        <v>115</v>
      </c>
      <c r="G898" t="s">
        <v>68</v>
      </c>
      <c r="H898">
        <v>6379.8</v>
      </c>
      <c r="I898">
        <v>6379.8</v>
      </c>
      <c r="J898">
        <v>0</v>
      </c>
      <c r="K898">
        <v>0</v>
      </c>
      <c r="L898">
        <v>0</v>
      </c>
    </row>
    <row r="899" spans="1:12" x14ac:dyDescent="0.25">
      <c r="A899" t="str">
        <f t="shared" si="13"/>
        <v>2002011202012026M07</v>
      </c>
      <c r="B899">
        <v>51321001</v>
      </c>
      <c r="C899">
        <v>12</v>
      </c>
      <c r="D899">
        <v>200201</v>
      </c>
      <c r="E899">
        <v>120201</v>
      </c>
      <c r="F899" t="s">
        <v>115</v>
      </c>
      <c r="G899" t="s">
        <v>69</v>
      </c>
      <c r="H899">
        <v>6379.8</v>
      </c>
      <c r="I899">
        <v>6379.8</v>
      </c>
      <c r="J899">
        <v>0</v>
      </c>
      <c r="K899">
        <v>0</v>
      </c>
      <c r="L899">
        <v>0</v>
      </c>
    </row>
    <row r="900" spans="1:12" x14ac:dyDescent="0.25">
      <c r="A900" t="str">
        <f t="shared" si="13"/>
        <v>2002011202012026M08</v>
      </c>
      <c r="B900">
        <v>51321001</v>
      </c>
      <c r="C900">
        <v>12</v>
      </c>
      <c r="D900">
        <v>200201</v>
      </c>
      <c r="E900">
        <v>120201</v>
      </c>
      <c r="F900" t="s">
        <v>115</v>
      </c>
      <c r="G900" t="s">
        <v>70</v>
      </c>
      <c r="H900">
        <v>6379.8</v>
      </c>
      <c r="I900">
        <v>6379.8</v>
      </c>
      <c r="J900">
        <v>0</v>
      </c>
      <c r="K900">
        <v>0</v>
      </c>
      <c r="L900">
        <v>0</v>
      </c>
    </row>
    <row r="901" spans="1:12" x14ac:dyDescent="0.25">
      <c r="A901" t="str">
        <f t="shared" si="13"/>
        <v>2002011202012026M09</v>
      </c>
      <c r="B901">
        <v>51321001</v>
      </c>
      <c r="C901">
        <v>12</v>
      </c>
      <c r="D901">
        <v>200201</v>
      </c>
      <c r="E901">
        <v>120201</v>
      </c>
      <c r="F901" t="s">
        <v>115</v>
      </c>
      <c r="G901" t="s">
        <v>71</v>
      </c>
      <c r="H901">
        <v>6379.8</v>
      </c>
      <c r="I901">
        <v>6379.8</v>
      </c>
      <c r="J901">
        <v>0</v>
      </c>
      <c r="K901">
        <v>0</v>
      </c>
      <c r="L901">
        <v>0</v>
      </c>
    </row>
    <row r="902" spans="1:12" x14ac:dyDescent="0.25">
      <c r="A902" t="str">
        <f t="shared" si="13"/>
        <v>2002011202012026M10</v>
      </c>
      <c r="B902">
        <v>51321001</v>
      </c>
      <c r="C902">
        <v>12</v>
      </c>
      <c r="D902">
        <v>200201</v>
      </c>
      <c r="E902">
        <v>120201</v>
      </c>
      <c r="F902" t="s">
        <v>115</v>
      </c>
      <c r="G902" t="s">
        <v>72</v>
      </c>
      <c r="H902">
        <v>6381.61</v>
      </c>
      <c r="I902">
        <v>0</v>
      </c>
      <c r="J902">
        <v>6381.61</v>
      </c>
      <c r="K902">
        <v>0</v>
      </c>
      <c r="L902">
        <v>0</v>
      </c>
    </row>
    <row r="903" spans="1:12" x14ac:dyDescent="0.25">
      <c r="A903" t="str">
        <f t="shared" si="13"/>
        <v>2002011202012026M11</v>
      </c>
      <c r="B903">
        <v>51321001</v>
      </c>
      <c r="C903">
        <v>12</v>
      </c>
      <c r="D903">
        <v>200201</v>
      </c>
      <c r="E903">
        <v>120201</v>
      </c>
      <c r="F903" t="s">
        <v>115</v>
      </c>
      <c r="G903" t="s">
        <v>73</v>
      </c>
      <c r="H903">
        <v>6380</v>
      </c>
      <c r="I903">
        <v>0</v>
      </c>
      <c r="J903">
        <v>6380</v>
      </c>
      <c r="K903">
        <v>0</v>
      </c>
      <c r="L903">
        <v>0</v>
      </c>
    </row>
    <row r="904" spans="1:12" x14ac:dyDescent="0.25">
      <c r="A904" t="str">
        <f t="shared" si="13"/>
        <v>2002011202012026M12</v>
      </c>
      <c r="B904">
        <v>51321001</v>
      </c>
      <c r="C904">
        <v>12</v>
      </c>
      <c r="D904">
        <v>200201</v>
      </c>
      <c r="E904">
        <v>120201</v>
      </c>
      <c r="F904" t="s">
        <v>115</v>
      </c>
      <c r="G904" t="s">
        <v>74</v>
      </c>
      <c r="H904">
        <v>12760</v>
      </c>
      <c r="I904">
        <v>0</v>
      </c>
      <c r="J904">
        <v>12760</v>
      </c>
      <c r="K904">
        <v>0</v>
      </c>
      <c r="L904">
        <v>0</v>
      </c>
    </row>
    <row r="905" spans="1:12" x14ac:dyDescent="0.25">
      <c r="A905" t="str">
        <f t="shared" si="13"/>
        <v>2002011224012026M02</v>
      </c>
      <c r="B905">
        <v>51321001</v>
      </c>
      <c r="C905">
        <v>12</v>
      </c>
      <c r="D905">
        <v>200201</v>
      </c>
      <c r="E905">
        <v>122401</v>
      </c>
      <c r="F905" t="s">
        <v>115</v>
      </c>
      <c r="G905" t="s">
        <v>64</v>
      </c>
      <c r="H905">
        <v>0</v>
      </c>
      <c r="I905">
        <v>0</v>
      </c>
      <c r="J905">
        <v>0</v>
      </c>
      <c r="K905">
        <v>0</v>
      </c>
      <c r="L905">
        <v>0</v>
      </c>
    </row>
    <row r="906" spans="1:12" x14ac:dyDescent="0.25">
      <c r="A906" t="str">
        <f t="shared" si="13"/>
        <v>2002011224012026M03</v>
      </c>
      <c r="B906">
        <v>51321001</v>
      </c>
      <c r="C906">
        <v>12</v>
      </c>
      <c r="D906">
        <v>200201</v>
      </c>
      <c r="E906">
        <v>122401</v>
      </c>
      <c r="F906" t="s">
        <v>115</v>
      </c>
      <c r="G906" t="s">
        <v>65</v>
      </c>
      <c r="H906">
        <v>0</v>
      </c>
      <c r="I906">
        <v>0</v>
      </c>
      <c r="J906">
        <v>0</v>
      </c>
      <c r="K906">
        <v>0</v>
      </c>
      <c r="L906">
        <v>0</v>
      </c>
    </row>
    <row r="907" spans="1:12" x14ac:dyDescent="0.25">
      <c r="A907" t="str">
        <f t="shared" ref="A907:A970" si="14">D907&amp;E907&amp;G907</f>
        <v>2002011224012026M04</v>
      </c>
      <c r="B907">
        <v>51321001</v>
      </c>
      <c r="C907">
        <v>12</v>
      </c>
      <c r="D907">
        <v>200201</v>
      </c>
      <c r="E907">
        <v>122401</v>
      </c>
      <c r="F907" t="s">
        <v>115</v>
      </c>
      <c r="G907" t="s">
        <v>66</v>
      </c>
      <c r="H907">
        <v>0</v>
      </c>
      <c r="I907">
        <v>0</v>
      </c>
      <c r="J907">
        <v>0</v>
      </c>
      <c r="K907">
        <v>0</v>
      </c>
      <c r="L907">
        <v>0</v>
      </c>
    </row>
    <row r="908" spans="1:12" x14ac:dyDescent="0.25">
      <c r="A908" t="str">
        <f t="shared" si="14"/>
        <v>2002011224012026M05</v>
      </c>
      <c r="B908">
        <v>51321001</v>
      </c>
      <c r="C908">
        <v>12</v>
      </c>
      <c r="D908">
        <v>200201</v>
      </c>
      <c r="E908">
        <v>122401</v>
      </c>
      <c r="F908" t="s">
        <v>115</v>
      </c>
      <c r="G908" t="s">
        <v>67</v>
      </c>
      <c r="H908">
        <v>0</v>
      </c>
      <c r="I908">
        <v>0</v>
      </c>
      <c r="J908">
        <v>0</v>
      </c>
      <c r="K908">
        <v>0</v>
      </c>
      <c r="L908">
        <v>0</v>
      </c>
    </row>
    <row r="909" spans="1:12" x14ac:dyDescent="0.25">
      <c r="A909" t="str">
        <f t="shared" si="14"/>
        <v>2002011224012026M06</v>
      </c>
      <c r="B909">
        <v>51321001</v>
      </c>
      <c r="C909">
        <v>12</v>
      </c>
      <c r="D909">
        <v>200201</v>
      </c>
      <c r="E909">
        <v>122401</v>
      </c>
      <c r="F909" t="s">
        <v>115</v>
      </c>
      <c r="G909" t="s">
        <v>68</v>
      </c>
      <c r="H909">
        <v>23199.19</v>
      </c>
      <c r="I909">
        <v>23199.19</v>
      </c>
      <c r="J909">
        <v>0</v>
      </c>
      <c r="K909">
        <v>0</v>
      </c>
      <c r="L909">
        <v>0</v>
      </c>
    </row>
    <row r="910" spans="1:12" x14ac:dyDescent="0.25">
      <c r="A910" t="str">
        <f t="shared" si="14"/>
        <v>2002011224012026M07</v>
      </c>
      <c r="B910">
        <v>51321001</v>
      </c>
      <c r="C910">
        <v>12</v>
      </c>
      <c r="D910">
        <v>200201</v>
      </c>
      <c r="E910">
        <v>122401</v>
      </c>
      <c r="F910" t="s">
        <v>115</v>
      </c>
      <c r="G910" t="s">
        <v>69</v>
      </c>
      <c r="H910">
        <v>0</v>
      </c>
      <c r="I910">
        <v>0</v>
      </c>
      <c r="J910">
        <v>0</v>
      </c>
      <c r="K910">
        <v>0</v>
      </c>
      <c r="L910">
        <v>0</v>
      </c>
    </row>
    <row r="911" spans="1:12" x14ac:dyDescent="0.25">
      <c r="A911" t="str">
        <f t="shared" si="14"/>
        <v>2002011224012026M08</v>
      </c>
      <c r="B911">
        <v>51321001</v>
      </c>
      <c r="C911">
        <v>12</v>
      </c>
      <c r="D911">
        <v>200201</v>
      </c>
      <c r="E911">
        <v>122401</v>
      </c>
      <c r="F911" t="s">
        <v>115</v>
      </c>
      <c r="G911" t="s">
        <v>70</v>
      </c>
      <c r="H911">
        <v>0</v>
      </c>
      <c r="I911">
        <v>0</v>
      </c>
      <c r="J911">
        <v>0</v>
      </c>
      <c r="K911">
        <v>0</v>
      </c>
      <c r="L911">
        <v>0</v>
      </c>
    </row>
    <row r="912" spans="1:12" x14ac:dyDescent="0.25">
      <c r="A912" t="str">
        <f t="shared" si="14"/>
        <v>2002011224012026M09</v>
      </c>
      <c r="B912">
        <v>51321001</v>
      </c>
      <c r="C912">
        <v>12</v>
      </c>
      <c r="D912">
        <v>200201</v>
      </c>
      <c r="E912">
        <v>122401</v>
      </c>
      <c r="F912" t="s">
        <v>115</v>
      </c>
      <c r="G912" t="s">
        <v>71</v>
      </c>
      <c r="H912">
        <v>23199.19</v>
      </c>
      <c r="I912">
        <v>23199.19</v>
      </c>
      <c r="J912">
        <v>0</v>
      </c>
      <c r="K912">
        <v>0</v>
      </c>
      <c r="L912">
        <v>0</v>
      </c>
    </row>
    <row r="913" spans="1:12" x14ac:dyDescent="0.25">
      <c r="A913" t="str">
        <f t="shared" si="14"/>
        <v>2002011224012026M10</v>
      </c>
      <c r="B913">
        <v>51321001</v>
      </c>
      <c r="C913">
        <v>12</v>
      </c>
      <c r="D913">
        <v>200201</v>
      </c>
      <c r="E913">
        <v>122401</v>
      </c>
      <c r="F913" t="s">
        <v>115</v>
      </c>
      <c r="G913" t="s">
        <v>72</v>
      </c>
      <c r="H913">
        <v>5801.62</v>
      </c>
      <c r="I913">
        <v>0</v>
      </c>
      <c r="J913">
        <v>5801.62</v>
      </c>
      <c r="K913">
        <v>0</v>
      </c>
      <c r="L913">
        <v>0</v>
      </c>
    </row>
    <row r="914" spans="1:12" x14ac:dyDescent="0.25">
      <c r="A914" t="str">
        <f t="shared" si="14"/>
        <v>2002011224012026M11</v>
      </c>
      <c r="B914">
        <v>51321001</v>
      </c>
      <c r="C914">
        <v>12</v>
      </c>
      <c r="D914">
        <v>200201</v>
      </c>
      <c r="E914">
        <v>122401</v>
      </c>
      <c r="F914" t="s">
        <v>115</v>
      </c>
      <c r="G914" t="s">
        <v>73</v>
      </c>
      <c r="H914">
        <v>5800</v>
      </c>
      <c r="I914">
        <v>0</v>
      </c>
      <c r="J914">
        <v>5800</v>
      </c>
      <c r="K914">
        <v>0</v>
      </c>
      <c r="L914">
        <v>0</v>
      </c>
    </row>
    <row r="915" spans="1:12" x14ac:dyDescent="0.25">
      <c r="A915" t="str">
        <f t="shared" si="14"/>
        <v>2002011224012026M12</v>
      </c>
      <c r="B915">
        <v>51321001</v>
      </c>
      <c r="C915">
        <v>12</v>
      </c>
      <c r="D915">
        <v>200201</v>
      </c>
      <c r="E915">
        <v>122401</v>
      </c>
      <c r="F915" t="s">
        <v>115</v>
      </c>
      <c r="G915" t="s">
        <v>74</v>
      </c>
      <c r="H915">
        <v>11600</v>
      </c>
      <c r="I915">
        <v>0</v>
      </c>
      <c r="J915">
        <v>11600</v>
      </c>
      <c r="K915">
        <v>0</v>
      </c>
      <c r="L915">
        <v>0</v>
      </c>
    </row>
    <row r="916" spans="1:12" x14ac:dyDescent="0.25">
      <c r="A916" t="str">
        <f t="shared" si="14"/>
        <v>3102031253052026M02</v>
      </c>
      <c r="B916">
        <v>51321001</v>
      </c>
      <c r="C916">
        <v>12</v>
      </c>
      <c r="D916">
        <v>310203</v>
      </c>
      <c r="E916">
        <v>125305</v>
      </c>
      <c r="F916" t="s">
        <v>115</v>
      </c>
      <c r="G916" t="s">
        <v>64</v>
      </c>
      <c r="H916">
        <v>0</v>
      </c>
      <c r="I916">
        <v>0</v>
      </c>
      <c r="J916">
        <v>0</v>
      </c>
      <c r="K916">
        <v>0</v>
      </c>
      <c r="L916">
        <v>0</v>
      </c>
    </row>
    <row r="917" spans="1:12" x14ac:dyDescent="0.25">
      <c r="A917" t="str">
        <f t="shared" si="14"/>
        <v>3102031253052026M03</v>
      </c>
      <c r="B917">
        <v>51321001</v>
      </c>
      <c r="C917">
        <v>12</v>
      </c>
      <c r="D917">
        <v>310203</v>
      </c>
      <c r="E917">
        <v>125305</v>
      </c>
      <c r="F917" t="s">
        <v>115</v>
      </c>
      <c r="G917" t="s">
        <v>65</v>
      </c>
      <c r="H917">
        <v>0</v>
      </c>
      <c r="I917">
        <v>0</v>
      </c>
      <c r="J917">
        <v>0</v>
      </c>
      <c r="K917">
        <v>0</v>
      </c>
      <c r="L917">
        <v>0</v>
      </c>
    </row>
    <row r="918" spans="1:12" x14ac:dyDescent="0.25">
      <c r="A918" t="str">
        <f t="shared" si="14"/>
        <v>3102031253052026M04</v>
      </c>
      <c r="B918">
        <v>51321001</v>
      </c>
      <c r="C918">
        <v>12</v>
      </c>
      <c r="D918">
        <v>310203</v>
      </c>
      <c r="E918">
        <v>125305</v>
      </c>
      <c r="F918" t="s">
        <v>115</v>
      </c>
      <c r="G918" t="s">
        <v>66</v>
      </c>
      <c r="H918">
        <v>0</v>
      </c>
      <c r="I918">
        <v>0</v>
      </c>
      <c r="J918">
        <v>0</v>
      </c>
      <c r="K918">
        <v>0</v>
      </c>
      <c r="L918">
        <v>0</v>
      </c>
    </row>
    <row r="919" spans="1:12" x14ac:dyDescent="0.25">
      <c r="A919" t="str">
        <f t="shared" si="14"/>
        <v>3102031253052026M05</v>
      </c>
      <c r="B919">
        <v>51321001</v>
      </c>
      <c r="C919">
        <v>12</v>
      </c>
      <c r="D919">
        <v>310203</v>
      </c>
      <c r="E919">
        <v>125305</v>
      </c>
      <c r="F919" t="s">
        <v>115</v>
      </c>
      <c r="G919" t="s">
        <v>67</v>
      </c>
      <c r="H919">
        <v>0</v>
      </c>
      <c r="I919">
        <v>0</v>
      </c>
      <c r="J919">
        <v>0</v>
      </c>
      <c r="K919">
        <v>0</v>
      </c>
      <c r="L919">
        <v>0</v>
      </c>
    </row>
    <row r="920" spans="1:12" x14ac:dyDescent="0.25">
      <c r="A920" t="str">
        <f t="shared" si="14"/>
        <v>3102031253052026M06</v>
      </c>
      <c r="B920">
        <v>51321001</v>
      </c>
      <c r="C920">
        <v>12</v>
      </c>
      <c r="D920">
        <v>310203</v>
      </c>
      <c r="E920">
        <v>125305</v>
      </c>
      <c r="F920" t="s">
        <v>115</v>
      </c>
      <c r="G920" t="s">
        <v>68</v>
      </c>
      <c r="H920">
        <v>0</v>
      </c>
      <c r="I920">
        <v>0</v>
      </c>
      <c r="J920">
        <v>0</v>
      </c>
      <c r="K920">
        <v>0</v>
      </c>
      <c r="L920">
        <v>0</v>
      </c>
    </row>
    <row r="921" spans="1:12" x14ac:dyDescent="0.25">
      <c r="A921" t="str">
        <f t="shared" si="14"/>
        <v>3102031253052026M07</v>
      </c>
      <c r="B921">
        <v>51321001</v>
      </c>
      <c r="C921">
        <v>12</v>
      </c>
      <c r="D921">
        <v>310203</v>
      </c>
      <c r="E921">
        <v>125305</v>
      </c>
      <c r="F921" t="s">
        <v>115</v>
      </c>
      <c r="G921" t="s">
        <v>69</v>
      </c>
      <c r="H921">
        <v>0</v>
      </c>
      <c r="I921">
        <v>0</v>
      </c>
      <c r="J921">
        <v>0</v>
      </c>
      <c r="K921">
        <v>0</v>
      </c>
      <c r="L921">
        <v>0</v>
      </c>
    </row>
    <row r="922" spans="1:12" x14ac:dyDescent="0.25">
      <c r="A922" t="str">
        <f t="shared" si="14"/>
        <v>3102031253052026M08</v>
      </c>
      <c r="B922">
        <v>51321001</v>
      </c>
      <c r="C922">
        <v>12</v>
      </c>
      <c r="D922">
        <v>310203</v>
      </c>
      <c r="E922">
        <v>125305</v>
      </c>
      <c r="F922" t="s">
        <v>115</v>
      </c>
      <c r="G922" t="s">
        <v>70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25">
      <c r="A923" t="str">
        <f t="shared" si="14"/>
        <v>3102031253052026M09</v>
      </c>
      <c r="B923">
        <v>51321001</v>
      </c>
      <c r="C923">
        <v>12</v>
      </c>
      <c r="D923">
        <v>310203</v>
      </c>
      <c r="E923">
        <v>125305</v>
      </c>
      <c r="F923" t="s">
        <v>115</v>
      </c>
      <c r="G923" t="s">
        <v>71</v>
      </c>
      <c r="H923">
        <v>0</v>
      </c>
      <c r="I923">
        <v>0</v>
      </c>
      <c r="J923">
        <v>0</v>
      </c>
      <c r="K923">
        <v>0</v>
      </c>
      <c r="L923">
        <v>0</v>
      </c>
    </row>
    <row r="924" spans="1:12" x14ac:dyDescent="0.25">
      <c r="A924" t="str">
        <f t="shared" si="14"/>
        <v>3102031253052026M10</v>
      </c>
      <c r="B924">
        <v>51321001</v>
      </c>
      <c r="C924">
        <v>12</v>
      </c>
      <c r="D924">
        <v>310203</v>
      </c>
      <c r="E924">
        <v>125305</v>
      </c>
      <c r="F924" t="s">
        <v>115</v>
      </c>
      <c r="G924" t="s">
        <v>72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x14ac:dyDescent="0.25">
      <c r="A925" t="str">
        <f t="shared" si="14"/>
        <v>3102031253052026M11</v>
      </c>
      <c r="B925">
        <v>51321001</v>
      </c>
      <c r="C925">
        <v>12</v>
      </c>
      <c r="D925">
        <v>310203</v>
      </c>
      <c r="E925">
        <v>125305</v>
      </c>
      <c r="F925" t="s">
        <v>115</v>
      </c>
      <c r="G925" t="s">
        <v>73</v>
      </c>
      <c r="H925">
        <v>0</v>
      </c>
      <c r="I925">
        <v>0</v>
      </c>
      <c r="J925">
        <v>0</v>
      </c>
      <c r="K925">
        <v>0</v>
      </c>
      <c r="L925">
        <v>0</v>
      </c>
    </row>
    <row r="926" spans="1:12" x14ac:dyDescent="0.25">
      <c r="A926" t="str">
        <f t="shared" si="14"/>
        <v>3102031253052026M12</v>
      </c>
      <c r="B926">
        <v>51321001</v>
      </c>
      <c r="C926">
        <v>12</v>
      </c>
      <c r="D926">
        <v>310203</v>
      </c>
      <c r="E926">
        <v>125305</v>
      </c>
      <c r="F926" t="s">
        <v>115</v>
      </c>
      <c r="G926" t="s">
        <v>74</v>
      </c>
      <c r="H926">
        <v>0</v>
      </c>
      <c r="I926">
        <v>0</v>
      </c>
      <c r="J926">
        <v>0</v>
      </c>
      <c r="K926">
        <v>0</v>
      </c>
      <c r="L926">
        <v>0</v>
      </c>
    </row>
    <row r="927" spans="1:12" x14ac:dyDescent="0.25">
      <c r="A927" t="str">
        <f t="shared" si="14"/>
        <v>3202001263032026M02</v>
      </c>
      <c r="B927">
        <v>51321001</v>
      </c>
      <c r="C927">
        <v>12</v>
      </c>
      <c r="D927">
        <v>320200</v>
      </c>
      <c r="E927">
        <v>126303</v>
      </c>
      <c r="F927" t="s">
        <v>115</v>
      </c>
      <c r="G927" t="s">
        <v>64</v>
      </c>
      <c r="H927">
        <v>0</v>
      </c>
      <c r="I927">
        <v>0</v>
      </c>
      <c r="J927">
        <v>0</v>
      </c>
      <c r="K927">
        <v>0</v>
      </c>
      <c r="L927">
        <v>0</v>
      </c>
    </row>
    <row r="928" spans="1:12" x14ac:dyDescent="0.25">
      <c r="A928" t="str">
        <f t="shared" si="14"/>
        <v>3202001263032026M03</v>
      </c>
      <c r="B928">
        <v>51321001</v>
      </c>
      <c r="C928">
        <v>12</v>
      </c>
      <c r="D928">
        <v>320200</v>
      </c>
      <c r="E928">
        <v>126303</v>
      </c>
      <c r="F928" t="s">
        <v>115</v>
      </c>
      <c r="G928" t="s">
        <v>65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 x14ac:dyDescent="0.25">
      <c r="A929" t="str">
        <f t="shared" si="14"/>
        <v>3202001263032026M04</v>
      </c>
      <c r="B929">
        <v>51321001</v>
      </c>
      <c r="C929">
        <v>12</v>
      </c>
      <c r="D929">
        <v>320200</v>
      </c>
      <c r="E929">
        <v>126303</v>
      </c>
      <c r="F929" t="s">
        <v>115</v>
      </c>
      <c r="G929" t="s">
        <v>66</v>
      </c>
      <c r="H929">
        <v>80388</v>
      </c>
      <c r="I929">
        <v>80388</v>
      </c>
      <c r="J929">
        <v>0</v>
      </c>
      <c r="K929">
        <v>0</v>
      </c>
      <c r="L929">
        <v>0</v>
      </c>
    </row>
    <row r="930" spans="1:12" x14ac:dyDescent="0.25">
      <c r="A930" t="str">
        <f t="shared" si="14"/>
        <v>3202001263032026M05</v>
      </c>
      <c r="B930">
        <v>51321001</v>
      </c>
      <c r="C930">
        <v>12</v>
      </c>
      <c r="D930">
        <v>320200</v>
      </c>
      <c r="E930">
        <v>126303</v>
      </c>
      <c r="F930" t="s">
        <v>115</v>
      </c>
      <c r="G930" t="s">
        <v>67</v>
      </c>
      <c r="H930">
        <v>26796</v>
      </c>
      <c r="I930">
        <v>26796</v>
      </c>
      <c r="J930">
        <v>0</v>
      </c>
      <c r="K930">
        <v>0</v>
      </c>
      <c r="L930">
        <v>0</v>
      </c>
    </row>
    <row r="931" spans="1:12" x14ac:dyDescent="0.25">
      <c r="A931" t="str">
        <f t="shared" si="14"/>
        <v>3202001263032026M06</v>
      </c>
      <c r="B931">
        <v>51321001</v>
      </c>
      <c r="C931">
        <v>12</v>
      </c>
      <c r="D931">
        <v>320200</v>
      </c>
      <c r="E931">
        <v>126303</v>
      </c>
      <c r="F931" t="s">
        <v>115</v>
      </c>
      <c r="G931" t="s">
        <v>68</v>
      </c>
      <c r="H931">
        <v>26796</v>
      </c>
      <c r="I931">
        <v>26796</v>
      </c>
      <c r="J931">
        <v>0</v>
      </c>
      <c r="K931">
        <v>0</v>
      </c>
      <c r="L931">
        <v>0</v>
      </c>
    </row>
    <row r="932" spans="1:12" x14ac:dyDescent="0.25">
      <c r="A932" t="str">
        <f t="shared" si="14"/>
        <v>3202001263032026M07</v>
      </c>
      <c r="B932">
        <v>51321001</v>
      </c>
      <c r="C932">
        <v>12</v>
      </c>
      <c r="D932">
        <v>320200</v>
      </c>
      <c r="E932">
        <v>126303</v>
      </c>
      <c r="F932" t="s">
        <v>115</v>
      </c>
      <c r="G932" t="s">
        <v>69</v>
      </c>
      <c r="H932">
        <v>26796</v>
      </c>
      <c r="I932">
        <v>26796</v>
      </c>
      <c r="J932">
        <v>0</v>
      </c>
      <c r="K932">
        <v>0</v>
      </c>
      <c r="L932">
        <v>0</v>
      </c>
    </row>
    <row r="933" spans="1:12" x14ac:dyDescent="0.25">
      <c r="A933" t="str">
        <f t="shared" si="14"/>
        <v>3202001263032026M08</v>
      </c>
      <c r="B933">
        <v>51321001</v>
      </c>
      <c r="C933">
        <v>12</v>
      </c>
      <c r="D933">
        <v>320200</v>
      </c>
      <c r="E933">
        <v>126303</v>
      </c>
      <c r="F933" t="s">
        <v>115</v>
      </c>
      <c r="G933" t="s">
        <v>70</v>
      </c>
      <c r="H933">
        <v>26796</v>
      </c>
      <c r="I933">
        <v>26796</v>
      </c>
      <c r="J933">
        <v>0</v>
      </c>
      <c r="K933">
        <v>0</v>
      </c>
      <c r="L933">
        <v>0</v>
      </c>
    </row>
    <row r="934" spans="1:12" x14ac:dyDescent="0.25">
      <c r="A934" t="str">
        <f t="shared" si="14"/>
        <v>3202001263032026M09</v>
      </c>
      <c r="B934">
        <v>51321001</v>
      </c>
      <c r="C934">
        <v>12</v>
      </c>
      <c r="D934">
        <v>320200</v>
      </c>
      <c r="E934">
        <v>126303</v>
      </c>
      <c r="F934" t="s">
        <v>115</v>
      </c>
      <c r="G934" t="s">
        <v>71</v>
      </c>
      <c r="H934">
        <v>26796</v>
      </c>
      <c r="I934">
        <v>26796</v>
      </c>
      <c r="J934">
        <v>0</v>
      </c>
      <c r="K934">
        <v>0</v>
      </c>
      <c r="L934">
        <v>0</v>
      </c>
    </row>
    <row r="935" spans="1:12" x14ac:dyDescent="0.25">
      <c r="A935" t="str">
        <f t="shared" si="14"/>
        <v>3202001263032026M10</v>
      </c>
      <c r="B935">
        <v>51321001</v>
      </c>
      <c r="C935">
        <v>12</v>
      </c>
      <c r="D935">
        <v>320200</v>
      </c>
      <c r="E935">
        <v>126303</v>
      </c>
      <c r="F935" t="s">
        <v>115</v>
      </c>
      <c r="G935" t="s">
        <v>72</v>
      </c>
      <c r="H935">
        <v>26796</v>
      </c>
      <c r="I935">
        <v>0</v>
      </c>
      <c r="J935">
        <v>26796</v>
      </c>
      <c r="K935">
        <v>0</v>
      </c>
      <c r="L935">
        <v>0</v>
      </c>
    </row>
    <row r="936" spans="1:12" x14ac:dyDescent="0.25">
      <c r="A936" t="str">
        <f t="shared" si="14"/>
        <v>3202001263032026M11</v>
      </c>
      <c r="B936">
        <v>51321001</v>
      </c>
      <c r="C936">
        <v>12</v>
      </c>
      <c r="D936">
        <v>320200</v>
      </c>
      <c r="E936">
        <v>126303</v>
      </c>
      <c r="F936" t="s">
        <v>115</v>
      </c>
      <c r="G936" t="s">
        <v>73</v>
      </c>
      <c r="H936">
        <v>26796</v>
      </c>
      <c r="I936">
        <v>0</v>
      </c>
      <c r="J936">
        <v>26796</v>
      </c>
      <c r="K936">
        <v>0</v>
      </c>
      <c r="L936">
        <v>0</v>
      </c>
    </row>
    <row r="937" spans="1:12" x14ac:dyDescent="0.25">
      <c r="A937" t="str">
        <f t="shared" si="14"/>
        <v>3202001263032026M12</v>
      </c>
      <c r="B937">
        <v>51321001</v>
      </c>
      <c r="C937">
        <v>12</v>
      </c>
      <c r="D937">
        <v>320200</v>
      </c>
      <c r="E937">
        <v>126303</v>
      </c>
      <c r="F937" t="s">
        <v>115</v>
      </c>
      <c r="G937" t="s">
        <v>74</v>
      </c>
      <c r="H937">
        <v>53592</v>
      </c>
      <c r="I937">
        <v>0</v>
      </c>
      <c r="J937">
        <v>53592</v>
      </c>
      <c r="K937">
        <v>0</v>
      </c>
      <c r="L937">
        <v>0</v>
      </c>
    </row>
    <row r="938" spans="1:12" x14ac:dyDescent="0.25">
      <c r="A938" t="str">
        <f t="shared" si="14"/>
        <v>501001390012026M02</v>
      </c>
      <c r="B938">
        <v>51321001</v>
      </c>
      <c r="C938">
        <v>13</v>
      </c>
      <c r="D938">
        <v>50100</v>
      </c>
      <c r="E938">
        <v>139001</v>
      </c>
      <c r="F938" t="s">
        <v>115</v>
      </c>
      <c r="G938" t="s">
        <v>64</v>
      </c>
      <c r="H938">
        <v>0</v>
      </c>
      <c r="I938">
        <v>0</v>
      </c>
      <c r="J938">
        <v>0</v>
      </c>
      <c r="K938">
        <v>0</v>
      </c>
      <c r="L938">
        <v>0</v>
      </c>
    </row>
    <row r="939" spans="1:12" x14ac:dyDescent="0.25">
      <c r="A939" t="str">
        <f t="shared" si="14"/>
        <v>501001390012026M03</v>
      </c>
      <c r="B939">
        <v>51321001</v>
      </c>
      <c r="C939">
        <v>13</v>
      </c>
      <c r="D939">
        <v>50100</v>
      </c>
      <c r="E939">
        <v>139001</v>
      </c>
      <c r="F939" t="s">
        <v>115</v>
      </c>
      <c r="G939" t="s">
        <v>65</v>
      </c>
      <c r="H939">
        <v>1342815.28</v>
      </c>
      <c r="I939">
        <v>1342815.28</v>
      </c>
      <c r="J939">
        <v>0</v>
      </c>
      <c r="K939">
        <v>0</v>
      </c>
      <c r="L939">
        <v>0</v>
      </c>
    </row>
    <row r="940" spans="1:12" x14ac:dyDescent="0.25">
      <c r="A940" t="str">
        <f t="shared" si="14"/>
        <v>501001390012026M04</v>
      </c>
      <c r="B940">
        <v>51321001</v>
      </c>
      <c r="C940">
        <v>13</v>
      </c>
      <c r="D940">
        <v>50100</v>
      </c>
      <c r="E940">
        <v>139001</v>
      </c>
      <c r="F940" t="s">
        <v>115</v>
      </c>
      <c r="G940" t="s">
        <v>66</v>
      </c>
      <c r="H940">
        <v>671407.64</v>
      </c>
      <c r="I940">
        <v>671407.64</v>
      </c>
      <c r="J940">
        <v>0</v>
      </c>
      <c r="K940">
        <v>0</v>
      </c>
      <c r="L940">
        <v>0</v>
      </c>
    </row>
    <row r="941" spans="1:12" x14ac:dyDescent="0.25">
      <c r="A941" t="str">
        <f t="shared" si="14"/>
        <v>501001390012026M05</v>
      </c>
      <c r="B941">
        <v>51321001</v>
      </c>
      <c r="C941">
        <v>13</v>
      </c>
      <c r="D941">
        <v>50100</v>
      </c>
      <c r="E941">
        <v>139001</v>
      </c>
      <c r="F941" t="s">
        <v>115</v>
      </c>
      <c r="G941" t="s">
        <v>67</v>
      </c>
      <c r="H941">
        <v>671407.64</v>
      </c>
      <c r="I941">
        <v>671407.64</v>
      </c>
      <c r="J941">
        <v>0</v>
      </c>
      <c r="K941">
        <v>0</v>
      </c>
      <c r="L941">
        <v>0</v>
      </c>
    </row>
    <row r="942" spans="1:12" x14ac:dyDescent="0.25">
      <c r="A942" t="str">
        <f t="shared" si="14"/>
        <v>501001390012026M06</v>
      </c>
      <c r="B942">
        <v>51321001</v>
      </c>
      <c r="C942">
        <v>13</v>
      </c>
      <c r="D942">
        <v>50100</v>
      </c>
      <c r="E942">
        <v>139001</v>
      </c>
      <c r="F942" t="s">
        <v>115</v>
      </c>
      <c r="G942" t="s">
        <v>68</v>
      </c>
      <c r="H942">
        <v>2979081.2</v>
      </c>
      <c r="I942">
        <v>2979081.2</v>
      </c>
      <c r="J942">
        <v>0</v>
      </c>
      <c r="K942">
        <v>0</v>
      </c>
      <c r="L942">
        <v>0</v>
      </c>
    </row>
    <row r="943" spans="1:12" x14ac:dyDescent="0.25">
      <c r="A943" t="str">
        <f t="shared" si="14"/>
        <v>501001390012026M07</v>
      </c>
      <c r="B943">
        <v>51321001</v>
      </c>
      <c r="C943">
        <v>13</v>
      </c>
      <c r="D943">
        <v>50100</v>
      </c>
      <c r="E943">
        <v>139001</v>
      </c>
      <c r="F943" t="s">
        <v>115</v>
      </c>
      <c r="G943" t="s">
        <v>69</v>
      </c>
      <c r="H943">
        <v>2402162.8199999998</v>
      </c>
      <c r="I943">
        <v>2402162.8199999998</v>
      </c>
      <c r="J943">
        <v>0</v>
      </c>
      <c r="K943">
        <v>0</v>
      </c>
      <c r="L943">
        <v>0</v>
      </c>
    </row>
    <row r="944" spans="1:12" x14ac:dyDescent="0.25">
      <c r="A944" t="str">
        <f t="shared" si="14"/>
        <v>501001390012026M08</v>
      </c>
      <c r="B944">
        <v>51321001</v>
      </c>
      <c r="C944">
        <v>13</v>
      </c>
      <c r="D944">
        <v>50100</v>
      </c>
      <c r="E944">
        <v>139001</v>
      </c>
      <c r="F944" t="s">
        <v>115</v>
      </c>
      <c r="G944" t="s">
        <v>70</v>
      </c>
      <c r="H944">
        <v>1536785.23</v>
      </c>
      <c r="I944">
        <v>1536785.23</v>
      </c>
      <c r="J944">
        <v>0</v>
      </c>
      <c r="K944">
        <v>0</v>
      </c>
      <c r="L944">
        <v>0</v>
      </c>
    </row>
    <row r="945" spans="1:12" x14ac:dyDescent="0.25">
      <c r="A945" t="str">
        <f t="shared" si="14"/>
        <v>501001390012026M09</v>
      </c>
      <c r="B945">
        <v>51321001</v>
      </c>
      <c r="C945">
        <v>13</v>
      </c>
      <c r="D945">
        <v>50100</v>
      </c>
      <c r="E945">
        <v>139001</v>
      </c>
      <c r="F945" t="s">
        <v>115</v>
      </c>
      <c r="G945" t="s">
        <v>71</v>
      </c>
      <c r="H945">
        <v>1536785.23</v>
      </c>
      <c r="I945">
        <v>1536785.23</v>
      </c>
      <c r="J945">
        <v>0</v>
      </c>
      <c r="K945">
        <v>0</v>
      </c>
      <c r="L945">
        <v>0</v>
      </c>
    </row>
    <row r="946" spans="1:12" x14ac:dyDescent="0.25">
      <c r="A946" t="str">
        <f t="shared" si="14"/>
        <v>501001390012026M10</v>
      </c>
      <c r="B946">
        <v>51321001</v>
      </c>
      <c r="C946">
        <v>13</v>
      </c>
      <c r="D946">
        <v>50100</v>
      </c>
      <c r="E946">
        <v>139001</v>
      </c>
      <c r="F946" t="s">
        <v>115</v>
      </c>
      <c r="G946" t="s">
        <v>72</v>
      </c>
      <c r="H946">
        <v>1536793.96</v>
      </c>
      <c r="I946">
        <v>0</v>
      </c>
      <c r="J946">
        <v>1536788.47</v>
      </c>
      <c r="K946">
        <v>0</v>
      </c>
      <c r="L946">
        <v>5.49</v>
      </c>
    </row>
    <row r="947" spans="1:12" x14ac:dyDescent="0.25">
      <c r="A947" t="str">
        <f t="shared" si="14"/>
        <v>501001390012026M11</v>
      </c>
      <c r="B947">
        <v>51321001</v>
      </c>
      <c r="C947">
        <v>13</v>
      </c>
      <c r="D947">
        <v>50100</v>
      </c>
      <c r="E947">
        <v>139001</v>
      </c>
      <c r="F947" t="s">
        <v>115</v>
      </c>
      <c r="G947" t="s">
        <v>73</v>
      </c>
      <c r="H947">
        <v>1536786.2</v>
      </c>
      <c r="I947">
        <v>0</v>
      </c>
      <c r="J947">
        <v>1536785.59</v>
      </c>
      <c r="K947">
        <v>0</v>
      </c>
      <c r="L947">
        <v>0.61</v>
      </c>
    </row>
    <row r="948" spans="1:12" x14ac:dyDescent="0.25">
      <c r="A948" t="str">
        <f t="shared" si="14"/>
        <v>501001390012026M12</v>
      </c>
      <c r="B948">
        <v>51321001</v>
      </c>
      <c r="C948">
        <v>13</v>
      </c>
      <c r="D948">
        <v>50100</v>
      </c>
      <c r="E948">
        <v>139001</v>
      </c>
      <c r="F948" t="s">
        <v>115</v>
      </c>
      <c r="G948" t="s">
        <v>74</v>
      </c>
      <c r="H948">
        <v>3073572.4</v>
      </c>
      <c r="I948">
        <v>0</v>
      </c>
      <c r="J948">
        <v>3073571.17</v>
      </c>
      <c r="K948">
        <v>0</v>
      </c>
      <c r="L948">
        <v>1.23</v>
      </c>
    </row>
    <row r="949" spans="1:12" x14ac:dyDescent="0.25">
      <c r="A949" t="str">
        <f t="shared" si="14"/>
        <v>7310013P9012026M02</v>
      </c>
      <c r="B949">
        <v>51321001</v>
      </c>
      <c r="C949">
        <v>13</v>
      </c>
      <c r="D949">
        <v>73100</v>
      </c>
      <c r="E949" t="s">
        <v>81</v>
      </c>
      <c r="F949" t="s">
        <v>115</v>
      </c>
      <c r="G949" t="s">
        <v>64</v>
      </c>
      <c r="H949">
        <v>0</v>
      </c>
      <c r="I949">
        <v>0</v>
      </c>
      <c r="J949">
        <v>0</v>
      </c>
      <c r="K949">
        <v>0</v>
      </c>
      <c r="L949">
        <v>0</v>
      </c>
    </row>
    <row r="950" spans="1:12" x14ac:dyDescent="0.25">
      <c r="A950" t="str">
        <f t="shared" si="14"/>
        <v>7310013P9012026M03</v>
      </c>
      <c r="B950">
        <v>51321001</v>
      </c>
      <c r="C950">
        <v>13</v>
      </c>
      <c r="D950">
        <v>73100</v>
      </c>
      <c r="E950" t="s">
        <v>81</v>
      </c>
      <c r="F950" t="s">
        <v>115</v>
      </c>
      <c r="G950" t="s">
        <v>65</v>
      </c>
      <c r="H950">
        <v>0</v>
      </c>
      <c r="I950">
        <v>0</v>
      </c>
      <c r="J950">
        <v>0</v>
      </c>
      <c r="K950">
        <v>0</v>
      </c>
      <c r="L950">
        <v>0</v>
      </c>
    </row>
    <row r="951" spans="1:12" x14ac:dyDescent="0.25">
      <c r="A951" t="str">
        <f t="shared" si="14"/>
        <v>7310013P9012026M04</v>
      </c>
      <c r="B951">
        <v>51321001</v>
      </c>
      <c r="C951">
        <v>13</v>
      </c>
      <c r="D951">
        <v>73100</v>
      </c>
      <c r="E951" t="s">
        <v>81</v>
      </c>
      <c r="F951" t="s">
        <v>115</v>
      </c>
      <c r="G951" t="s">
        <v>66</v>
      </c>
      <c r="H951">
        <v>0</v>
      </c>
      <c r="I951">
        <v>0</v>
      </c>
      <c r="J951">
        <v>0</v>
      </c>
      <c r="K951">
        <v>0</v>
      </c>
      <c r="L951">
        <v>0</v>
      </c>
    </row>
    <row r="952" spans="1:12" x14ac:dyDescent="0.25">
      <c r="A952" t="str">
        <f t="shared" si="14"/>
        <v>7310013P9012026M05</v>
      </c>
      <c r="B952">
        <v>51321001</v>
      </c>
      <c r="C952">
        <v>13</v>
      </c>
      <c r="D952">
        <v>73100</v>
      </c>
      <c r="E952" t="s">
        <v>81</v>
      </c>
      <c r="F952" t="s">
        <v>115</v>
      </c>
      <c r="G952" t="s">
        <v>67</v>
      </c>
      <c r="H952">
        <v>0</v>
      </c>
      <c r="I952">
        <v>0</v>
      </c>
      <c r="J952">
        <v>0</v>
      </c>
      <c r="K952">
        <v>0</v>
      </c>
      <c r="L952">
        <v>0</v>
      </c>
    </row>
    <row r="953" spans="1:12" x14ac:dyDescent="0.25">
      <c r="A953" t="str">
        <f t="shared" si="14"/>
        <v>7310013P9012026M06</v>
      </c>
      <c r="B953">
        <v>51321001</v>
      </c>
      <c r="C953">
        <v>13</v>
      </c>
      <c r="D953">
        <v>73100</v>
      </c>
      <c r="E953" t="s">
        <v>81</v>
      </c>
      <c r="F953" t="s">
        <v>115</v>
      </c>
      <c r="G953" t="s">
        <v>68</v>
      </c>
      <c r="H953">
        <v>0</v>
      </c>
      <c r="I953">
        <v>0</v>
      </c>
      <c r="J953">
        <v>0</v>
      </c>
      <c r="K953">
        <v>0</v>
      </c>
      <c r="L953">
        <v>0</v>
      </c>
    </row>
    <row r="954" spans="1:12" x14ac:dyDescent="0.25">
      <c r="A954" t="str">
        <f t="shared" si="14"/>
        <v>7310013P9012026M07</v>
      </c>
      <c r="B954">
        <v>51321001</v>
      </c>
      <c r="C954">
        <v>13</v>
      </c>
      <c r="D954">
        <v>73100</v>
      </c>
      <c r="E954" t="s">
        <v>81</v>
      </c>
      <c r="F954" t="s">
        <v>115</v>
      </c>
      <c r="G954" t="s">
        <v>69</v>
      </c>
      <c r="H954">
        <v>100855.03999999999</v>
      </c>
      <c r="I954">
        <v>100855.03999999999</v>
      </c>
      <c r="J954">
        <v>0</v>
      </c>
      <c r="K954">
        <v>0</v>
      </c>
      <c r="L954">
        <v>0</v>
      </c>
    </row>
    <row r="955" spans="1:12" x14ac:dyDescent="0.25">
      <c r="A955" t="str">
        <f t="shared" si="14"/>
        <v>7310013P9012026M08</v>
      </c>
      <c r="B955">
        <v>51321001</v>
      </c>
      <c r="C955">
        <v>13</v>
      </c>
      <c r="D955">
        <v>73100</v>
      </c>
      <c r="E955" t="s">
        <v>81</v>
      </c>
      <c r="F955" t="s">
        <v>115</v>
      </c>
      <c r="G955" t="s">
        <v>70</v>
      </c>
      <c r="H955">
        <v>0</v>
      </c>
      <c r="I955">
        <v>0</v>
      </c>
      <c r="J955">
        <v>0</v>
      </c>
      <c r="K955">
        <v>0</v>
      </c>
      <c r="L955">
        <v>0</v>
      </c>
    </row>
    <row r="956" spans="1:12" x14ac:dyDescent="0.25">
      <c r="A956" t="str">
        <f t="shared" si="14"/>
        <v>7310013P9012026M09</v>
      </c>
      <c r="B956">
        <v>51321001</v>
      </c>
      <c r="C956">
        <v>13</v>
      </c>
      <c r="D956">
        <v>73100</v>
      </c>
      <c r="E956" t="s">
        <v>81</v>
      </c>
      <c r="F956" t="s">
        <v>115</v>
      </c>
      <c r="G956" t="s">
        <v>71</v>
      </c>
      <c r="H956">
        <v>0</v>
      </c>
      <c r="I956">
        <v>0</v>
      </c>
      <c r="J956">
        <v>0</v>
      </c>
      <c r="K956">
        <v>0</v>
      </c>
      <c r="L956">
        <v>0</v>
      </c>
    </row>
    <row r="957" spans="1:12" x14ac:dyDescent="0.25">
      <c r="A957" t="str">
        <f t="shared" si="14"/>
        <v>7310013P9012026M10</v>
      </c>
      <c r="B957">
        <v>51321001</v>
      </c>
      <c r="C957">
        <v>13</v>
      </c>
      <c r="D957">
        <v>73100</v>
      </c>
      <c r="E957" t="s">
        <v>81</v>
      </c>
      <c r="F957" t="s">
        <v>115</v>
      </c>
      <c r="G957" t="s">
        <v>72</v>
      </c>
      <c r="H957">
        <v>0.96</v>
      </c>
      <c r="I957">
        <v>0</v>
      </c>
      <c r="J957">
        <v>0.96</v>
      </c>
      <c r="K957">
        <v>0</v>
      </c>
      <c r="L957">
        <v>0</v>
      </c>
    </row>
    <row r="958" spans="1:12" x14ac:dyDescent="0.25">
      <c r="A958" t="str">
        <f t="shared" si="14"/>
        <v>7310013P9012026M11</v>
      </c>
      <c r="B958">
        <v>51321001</v>
      </c>
      <c r="C958">
        <v>13</v>
      </c>
      <c r="D958">
        <v>73100</v>
      </c>
      <c r="E958" t="s">
        <v>81</v>
      </c>
      <c r="F958" t="s">
        <v>115</v>
      </c>
      <c r="G958" t="s">
        <v>73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25">
      <c r="A959" t="str">
        <f t="shared" si="14"/>
        <v>7310013P9012026M12</v>
      </c>
      <c r="B959">
        <v>51321001</v>
      </c>
      <c r="C959">
        <v>13</v>
      </c>
      <c r="D959">
        <v>73100</v>
      </c>
      <c r="E959" t="s">
        <v>81</v>
      </c>
      <c r="F959" t="s">
        <v>115</v>
      </c>
      <c r="G959" t="s">
        <v>74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x14ac:dyDescent="0.25">
      <c r="A960" t="str">
        <f t="shared" si="14"/>
        <v>731101393022026M02</v>
      </c>
      <c r="B960">
        <v>51321001</v>
      </c>
      <c r="C960">
        <v>13</v>
      </c>
      <c r="D960">
        <v>73110</v>
      </c>
      <c r="E960">
        <v>139302</v>
      </c>
      <c r="F960" t="s">
        <v>115</v>
      </c>
      <c r="G960" t="s">
        <v>64</v>
      </c>
      <c r="H960">
        <v>0</v>
      </c>
      <c r="I960">
        <v>0</v>
      </c>
      <c r="J960">
        <v>0</v>
      </c>
      <c r="K960">
        <v>0</v>
      </c>
      <c r="L960">
        <v>0</v>
      </c>
    </row>
    <row r="961" spans="1:12" x14ac:dyDescent="0.25">
      <c r="A961" t="str">
        <f t="shared" si="14"/>
        <v>731101393022026M03</v>
      </c>
      <c r="B961">
        <v>51321001</v>
      </c>
      <c r="C961">
        <v>13</v>
      </c>
      <c r="D961">
        <v>73110</v>
      </c>
      <c r="E961">
        <v>139302</v>
      </c>
      <c r="F961" t="s">
        <v>115</v>
      </c>
      <c r="G961" t="s">
        <v>65</v>
      </c>
      <c r="H961">
        <v>37234.68</v>
      </c>
      <c r="I961">
        <v>37234.68</v>
      </c>
      <c r="J961">
        <v>0</v>
      </c>
      <c r="K961">
        <v>0</v>
      </c>
      <c r="L961">
        <v>0</v>
      </c>
    </row>
    <row r="962" spans="1:12" x14ac:dyDescent="0.25">
      <c r="A962" t="str">
        <f t="shared" si="14"/>
        <v>731101393022026M04</v>
      </c>
      <c r="B962">
        <v>51321001</v>
      </c>
      <c r="C962">
        <v>13</v>
      </c>
      <c r="D962">
        <v>73110</v>
      </c>
      <c r="E962">
        <v>139302</v>
      </c>
      <c r="F962" t="s">
        <v>115</v>
      </c>
      <c r="G962" t="s">
        <v>66</v>
      </c>
      <c r="H962">
        <v>18617.34</v>
      </c>
      <c r="I962">
        <v>18617.34</v>
      </c>
      <c r="J962">
        <v>0</v>
      </c>
      <c r="K962">
        <v>0</v>
      </c>
      <c r="L962">
        <v>0</v>
      </c>
    </row>
    <row r="963" spans="1:12" x14ac:dyDescent="0.25">
      <c r="A963" t="str">
        <f t="shared" si="14"/>
        <v>731101393022026M05</v>
      </c>
      <c r="B963">
        <v>51321001</v>
      </c>
      <c r="C963">
        <v>13</v>
      </c>
      <c r="D963">
        <v>73110</v>
      </c>
      <c r="E963">
        <v>139302</v>
      </c>
      <c r="F963" t="s">
        <v>115</v>
      </c>
      <c r="G963" t="s">
        <v>67</v>
      </c>
      <c r="H963">
        <v>20326.150000000001</v>
      </c>
      <c r="I963">
        <v>20326.150000000001</v>
      </c>
      <c r="J963">
        <v>0</v>
      </c>
      <c r="K963">
        <v>0</v>
      </c>
      <c r="L963">
        <v>0</v>
      </c>
    </row>
    <row r="964" spans="1:12" x14ac:dyDescent="0.25">
      <c r="A964" t="str">
        <f t="shared" si="14"/>
        <v>731101393022026M06</v>
      </c>
      <c r="B964">
        <v>51321001</v>
      </c>
      <c r="C964">
        <v>13</v>
      </c>
      <c r="D964">
        <v>73110</v>
      </c>
      <c r="E964">
        <v>139302</v>
      </c>
      <c r="F964" t="s">
        <v>115</v>
      </c>
      <c r="G964" t="s">
        <v>68</v>
      </c>
      <c r="H964">
        <v>20326.150000000001</v>
      </c>
      <c r="I964">
        <v>20326.150000000001</v>
      </c>
      <c r="J964">
        <v>0</v>
      </c>
      <c r="K964">
        <v>0</v>
      </c>
      <c r="L964">
        <v>0</v>
      </c>
    </row>
    <row r="965" spans="1:12" x14ac:dyDescent="0.25">
      <c r="A965" t="str">
        <f t="shared" si="14"/>
        <v>731101393022026M07</v>
      </c>
      <c r="B965">
        <v>51321001</v>
      </c>
      <c r="C965">
        <v>13</v>
      </c>
      <c r="D965">
        <v>73110</v>
      </c>
      <c r="E965">
        <v>139302</v>
      </c>
      <c r="F965" t="s">
        <v>115</v>
      </c>
      <c r="G965" t="s">
        <v>69</v>
      </c>
      <c r="H965">
        <v>15203.19</v>
      </c>
      <c r="I965">
        <v>15203.19</v>
      </c>
      <c r="J965">
        <v>0</v>
      </c>
      <c r="K965">
        <v>0</v>
      </c>
      <c r="L965">
        <v>0</v>
      </c>
    </row>
    <row r="966" spans="1:12" x14ac:dyDescent="0.25">
      <c r="A966" t="str">
        <f t="shared" si="14"/>
        <v>731101393022026M08</v>
      </c>
      <c r="B966">
        <v>51321001</v>
      </c>
      <c r="C966">
        <v>13</v>
      </c>
      <c r="D966">
        <v>73110</v>
      </c>
      <c r="E966">
        <v>139302</v>
      </c>
      <c r="F966" t="s">
        <v>115</v>
      </c>
      <c r="G966" t="s">
        <v>70</v>
      </c>
      <c r="H966">
        <v>0</v>
      </c>
      <c r="I966">
        <v>0</v>
      </c>
      <c r="J966">
        <v>0</v>
      </c>
      <c r="K966">
        <v>0</v>
      </c>
      <c r="L966">
        <v>0</v>
      </c>
    </row>
    <row r="967" spans="1:12" x14ac:dyDescent="0.25">
      <c r="A967" t="str">
        <f t="shared" si="14"/>
        <v>731101393022026M09</v>
      </c>
      <c r="B967">
        <v>51321001</v>
      </c>
      <c r="C967">
        <v>13</v>
      </c>
      <c r="D967">
        <v>73110</v>
      </c>
      <c r="E967">
        <v>139302</v>
      </c>
      <c r="F967" t="s">
        <v>115</v>
      </c>
      <c r="G967" t="s">
        <v>71</v>
      </c>
      <c r="H967">
        <v>0</v>
      </c>
      <c r="I967">
        <v>0</v>
      </c>
      <c r="J967">
        <v>0</v>
      </c>
      <c r="K967">
        <v>0</v>
      </c>
      <c r="L967">
        <v>0</v>
      </c>
    </row>
    <row r="968" spans="1:12" x14ac:dyDescent="0.25">
      <c r="A968" t="str">
        <f t="shared" si="14"/>
        <v>731101393022026M10</v>
      </c>
      <c r="B968">
        <v>51321001</v>
      </c>
      <c r="C968">
        <v>13</v>
      </c>
      <c r="D968">
        <v>73110</v>
      </c>
      <c r="E968">
        <v>139302</v>
      </c>
      <c r="F968" t="s">
        <v>115</v>
      </c>
      <c r="G968" t="s">
        <v>72</v>
      </c>
      <c r="H968">
        <v>55854.49</v>
      </c>
      <c r="I968">
        <v>0</v>
      </c>
      <c r="J968">
        <v>55854.49</v>
      </c>
      <c r="K968">
        <v>0</v>
      </c>
      <c r="L968">
        <v>0</v>
      </c>
    </row>
    <row r="969" spans="1:12" x14ac:dyDescent="0.25">
      <c r="A969" t="str">
        <f t="shared" si="14"/>
        <v>731101393022026M11</v>
      </c>
      <c r="B969">
        <v>51321001</v>
      </c>
      <c r="C969">
        <v>13</v>
      </c>
      <c r="D969">
        <v>73110</v>
      </c>
      <c r="E969">
        <v>139302</v>
      </c>
      <c r="F969" t="s">
        <v>115</v>
      </c>
      <c r="G969" t="s">
        <v>73</v>
      </c>
      <c r="H969">
        <v>18618</v>
      </c>
      <c r="I969">
        <v>0</v>
      </c>
      <c r="J969">
        <v>18618</v>
      </c>
      <c r="K969">
        <v>0</v>
      </c>
      <c r="L969">
        <v>0</v>
      </c>
    </row>
    <row r="970" spans="1:12" x14ac:dyDescent="0.25">
      <c r="A970" t="str">
        <f t="shared" si="14"/>
        <v>731101393022026M12</v>
      </c>
      <c r="B970">
        <v>51321001</v>
      </c>
      <c r="C970">
        <v>13</v>
      </c>
      <c r="D970">
        <v>73110</v>
      </c>
      <c r="E970">
        <v>139302</v>
      </c>
      <c r="F970" t="s">
        <v>115</v>
      </c>
      <c r="G970" t="s">
        <v>74</v>
      </c>
      <c r="H970">
        <v>37236</v>
      </c>
      <c r="I970">
        <v>0</v>
      </c>
      <c r="J970">
        <v>37236</v>
      </c>
      <c r="K970">
        <v>0</v>
      </c>
      <c r="L970">
        <v>0</v>
      </c>
    </row>
    <row r="971" spans="1:12" x14ac:dyDescent="0.25">
      <c r="A971" t="str">
        <f t="shared" ref="A971:A1034" si="15">D971&amp;E971&amp;G971</f>
        <v>1401001490012026M02</v>
      </c>
      <c r="B971">
        <v>51321001</v>
      </c>
      <c r="C971">
        <v>14</v>
      </c>
      <c r="D971">
        <v>140100</v>
      </c>
      <c r="E971">
        <v>149001</v>
      </c>
      <c r="F971" t="s">
        <v>115</v>
      </c>
      <c r="G971" t="s">
        <v>64</v>
      </c>
      <c r="H971">
        <v>0</v>
      </c>
      <c r="I971">
        <v>0</v>
      </c>
      <c r="J971">
        <v>0</v>
      </c>
      <c r="K971">
        <v>0</v>
      </c>
      <c r="L971">
        <v>0</v>
      </c>
    </row>
    <row r="972" spans="1:12" x14ac:dyDescent="0.25">
      <c r="A972" t="str">
        <f t="shared" si="15"/>
        <v>1401001490012026M03</v>
      </c>
      <c r="B972">
        <v>51321001</v>
      </c>
      <c r="C972">
        <v>14</v>
      </c>
      <c r="D972">
        <v>140100</v>
      </c>
      <c r="E972">
        <v>149001</v>
      </c>
      <c r="F972" t="s">
        <v>115</v>
      </c>
      <c r="G972" t="s">
        <v>65</v>
      </c>
      <c r="H972">
        <v>0</v>
      </c>
      <c r="I972">
        <v>0</v>
      </c>
      <c r="J972">
        <v>0</v>
      </c>
      <c r="K972">
        <v>0</v>
      </c>
      <c r="L972">
        <v>0</v>
      </c>
    </row>
    <row r="973" spans="1:12" x14ac:dyDescent="0.25">
      <c r="A973" t="str">
        <f t="shared" si="15"/>
        <v>1401001490012026M04</v>
      </c>
      <c r="B973">
        <v>51321001</v>
      </c>
      <c r="C973">
        <v>14</v>
      </c>
      <c r="D973">
        <v>140100</v>
      </c>
      <c r="E973">
        <v>149001</v>
      </c>
      <c r="F973" t="s">
        <v>115</v>
      </c>
      <c r="G973" t="s">
        <v>66</v>
      </c>
      <c r="H973">
        <v>0</v>
      </c>
      <c r="I973">
        <v>0</v>
      </c>
      <c r="J973">
        <v>0</v>
      </c>
      <c r="K973">
        <v>0</v>
      </c>
      <c r="L973">
        <v>0</v>
      </c>
    </row>
    <row r="974" spans="1:12" x14ac:dyDescent="0.25">
      <c r="A974" t="str">
        <f t="shared" si="15"/>
        <v>1401001490012026M05</v>
      </c>
      <c r="B974">
        <v>51321001</v>
      </c>
      <c r="C974">
        <v>14</v>
      </c>
      <c r="D974">
        <v>140100</v>
      </c>
      <c r="E974">
        <v>149001</v>
      </c>
      <c r="F974" t="s">
        <v>115</v>
      </c>
      <c r="G974" t="s">
        <v>67</v>
      </c>
      <c r="H974">
        <v>0</v>
      </c>
      <c r="I974">
        <v>0</v>
      </c>
      <c r="J974">
        <v>0</v>
      </c>
      <c r="K974">
        <v>0</v>
      </c>
      <c r="L974">
        <v>0</v>
      </c>
    </row>
    <row r="975" spans="1:12" x14ac:dyDescent="0.25">
      <c r="A975" t="str">
        <f t="shared" si="15"/>
        <v>1401001490012026M06</v>
      </c>
      <c r="B975">
        <v>51321001</v>
      </c>
      <c r="C975">
        <v>14</v>
      </c>
      <c r="D975">
        <v>140100</v>
      </c>
      <c r="E975">
        <v>149001</v>
      </c>
      <c r="F975" t="s">
        <v>115</v>
      </c>
      <c r="G975" t="s">
        <v>68</v>
      </c>
      <c r="H975">
        <v>0</v>
      </c>
      <c r="I975">
        <v>0</v>
      </c>
      <c r="J975">
        <v>0</v>
      </c>
      <c r="K975">
        <v>0</v>
      </c>
      <c r="L975">
        <v>0</v>
      </c>
    </row>
    <row r="976" spans="1:12" x14ac:dyDescent="0.25">
      <c r="A976" t="str">
        <f t="shared" si="15"/>
        <v>1401001490012026M07</v>
      </c>
      <c r="B976">
        <v>51321001</v>
      </c>
      <c r="C976">
        <v>14</v>
      </c>
      <c r="D976">
        <v>140100</v>
      </c>
      <c r="E976">
        <v>149001</v>
      </c>
      <c r="F976" t="s">
        <v>115</v>
      </c>
      <c r="G976" t="s">
        <v>69</v>
      </c>
      <c r="H976">
        <v>0</v>
      </c>
      <c r="I976">
        <v>0</v>
      </c>
      <c r="J976">
        <v>0</v>
      </c>
      <c r="K976">
        <v>0</v>
      </c>
      <c r="L976">
        <v>0</v>
      </c>
    </row>
    <row r="977" spans="1:12" x14ac:dyDescent="0.25">
      <c r="A977" t="str">
        <f t="shared" si="15"/>
        <v>1401001490012026M08</v>
      </c>
      <c r="B977">
        <v>51321001</v>
      </c>
      <c r="C977">
        <v>14</v>
      </c>
      <c r="D977">
        <v>140100</v>
      </c>
      <c r="E977">
        <v>149001</v>
      </c>
      <c r="F977" t="s">
        <v>115</v>
      </c>
      <c r="G977" t="s">
        <v>70</v>
      </c>
      <c r="H977">
        <v>0</v>
      </c>
      <c r="I977">
        <v>0</v>
      </c>
      <c r="J977">
        <v>0</v>
      </c>
      <c r="K977">
        <v>0</v>
      </c>
      <c r="L977">
        <v>0</v>
      </c>
    </row>
    <row r="978" spans="1:12" x14ac:dyDescent="0.25">
      <c r="A978" t="str">
        <f t="shared" si="15"/>
        <v>1401001490012026M09</v>
      </c>
      <c r="B978">
        <v>51321001</v>
      </c>
      <c r="C978">
        <v>14</v>
      </c>
      <c r="D978">
        <v>140100</v>
      </c>
      <c r="E978">
        <v>149001</v>
      </c>
      <c r="F978" t="s">
        <v>115</v>
      </c>
      <c r="G978" t="s">
        <v>71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25">
      <c r="A979" t="str">
        <f t="shared" si="15"/>
        <v>1401001490012026M10</v>
      </c>
      <c r="B979">
        <v>51321001</v>
      </c>
      <c r="C979">
        <v>14</v>
      </c>
      <c r="D979">
        <v>140100</v>
      </c>
      <c r="E979">
        <v>149001</v>
      </c>
      <c r="F979" t="s">
        <v>115</v>
      </c>
      <c r="G979" t="s">
        <v>72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25">
      <c r="A980" t="str">
        <f t="shared" si="15"/>
        <v>1401001490012026M11</v>
      </c>
      <c r="B980">
        <v>51321001</v>
      </c>
      <c r="C980">
        <v>14</v>
      </c>
      <c r="D980">
        <v>140100</v>
      </c>
      <c r="E980">
        <v>149001</v>
      </c>
      <c r="F980" t="s">
        <v>115</v>
      </c>
      <c r="G980" t="s">
        <v>73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25">
      <c r="A981" t="str">
        <f t="shared" si="15"/>
        <v>1401001490012026M12</v>
      </c>
      <c r="B981">
        <v>51321001</v>
      </c>
      <c r="C981">
        <v>14</v>
      </c>
      <c r="D981">
        <v>140100</v>
      </c>
      <c r="E981">
        <v>149001</v>
      </c>
      <c r="F981" t="s">
        <v>115</v>
      </c>
      <c r="G981" t="s">
        <v>74</v>
      </c>
      <c r="H981">
        <v>0</v>
      </c>
      <c r="I981">
        <v>0</v>
      </c>
      <c r="J981">
        <v>0</v>
      </c>
      <c r="K981">
        <v>0</v>
      </c>
      <c r="L981">
        <v>0</v>
      </c>
    </row>
    <row r="982" spans="1:12" x14ac:dyDescent="0.25">
      <c r="A982" t="str">
        <f t="shared" si="15"/>
        <v>1501001490012026M02</v>
      </c>
      <c r="B982">
        <v>51321001</v>
      </c>
      <c r="C982">
        <v>14</v>
      </c>
      <c r="D982">
        <v>150100</v>
      </c>
      <c r="E982">
        <v>149001</v>
      </c>
      <c r="F982" t="s">
        <v>115</v>
      </c>
      <c r="G982" t="s">
        <v>64</v>
      </c>
      <c r="H982">
        <v>2308162.96</v>
      </c>
      <c r="I982">
        <v>2308162.96</v>
      </c>
      <c r="J982">
        <v>0</v>
      </c>
      <c r="K982">
        <v>0</v>
      </c>
      <c r="L982">
        <v>0</v>
      </c>
    </row>
    <row r="983" spans="1:12" x14ac:dyDescent="0.25">
      <c r="A983" t="str">
        <f t="shared" si="15"/>
        <v>1501001490012026M03</v>
      </c>
      <c r="B983">
        <v>51321001</v>
      </c>
      <c r="C983">
        <v>14</v>
      </c>
      <c r="D983">
        <v>150100</v>
      </c>
      <c r="E983">
        <v>149001</v>
      </c>
      <c r="F983" t="s">
        <v>115</v>
      </c>
      <c r="G983" t="s">
        <v>65</v>
      </c>
      <c r="H983">
        <v>2308162.96</v>
      </c>
      <c r="I983">
        <v>2308162.96</v>
      </c>
      <c r="J983">
        <v>0</v>
      </c>
      <c r="K983">
        <v>0</v>
      </c>
      <c r="L983">
        <v>0</v>
      </c>
    </row>
    <row r="984" spans="1:12" x14ac:dyDescent="0.25">
      <c r="A984" t="str">
        <f t="shared" si="15"/>
        <v>1501001490012026M04</v>
      </c>
      <c r="B984">
        <v>51321001</v>
      </c>
      <c r="C984">
        <v>14</v>
      </c>
      <c r="D984">
        <v>150100</v>
      </c>
      <c r="E984">
        <v>149001</v>
      </c>
      <c r="F984" t="s">
        <v>115</v>
      </c>
      <c r="G984" t="s">
        <v>66</v>
      </c>
      <c r="H984">
        <v>2308162.96</v>
      </c>
      <c r="I984">
        <v>2308162.96</v>
      </c>
      <c r="J984">
        <v>0</v>
      </c>
      <c r="K984">
        <v>0</v>
      </c>
      <c r="L984">
        <v>0</v>
      </c>
    </row>
    <row r="985" spans="1:12" x14ac:dyDescent="0.25">
      <c r="A985" t="str">
        <f t="shared" si="15"/>
        <v>1501001490012026M05</v>
      </c>
      <c r="B985">
        <v>51321001</v>
      </c>
      <c r="C985">
        <v>14</v>
      </c>
      <c r="D985">
        <v>150100</v>
      </c>
      <c r="E985">
        <v>149001</v>
      </c>
      <c r="F985" t="s">
        <v>115</v>
      </c>
      <c r="G985" t="s">
        <v>67</v>
      </c>
      <c r="H985">
        <v>2308162.96</v>
      </c>
      <c r="I985">
        <v>2308162.96</v>
      </c>
      <c r="J985">
        <v>0</v>
      </c>
      <c r="K985">
        <v>0</v>
      </c>
      <c r="L985">
        <v>0</v>
      </c>
    </row>
    <row r="986" spans="1:12" x14ac:dyDescent="0.25">
      <c r="A986" t="str">
        <f t="shared" si="15"/>
        <v>1501001490012026M06</v>
      </c>
      <c r="B986">
        <v>51321001</v>
      </c>
      <c r="C986">
        <v>14</v>
      </c>
      <c r="D986">
        <v>150100</v>
      </c>
      <c r="E986">
        <v>149001</v>
      </c>
      <c r="F986" t="s">
        <v>115</v>
      </c>
      <c r="G986" t="s">
        <v>68</v>
      </c>
      <c r="H986">
        <v>2308162.96</v>
      </c>
      <c r="I986">
        <v>2308162.96</v>
      </c>
      <c r="J986">
        <v>0</v>
      </c>
      <c r="K986">
        <v>0</v>
      </c>
      <c r="L986">
        <v>0</v>
      </c>
    </row>
    <row r="987" spans="1:12" x14ac:dyDescent="0.25">
      <c r="A987" t="str">
        <f t="shared" si="15"/>
        <v>1501001490012026M07</v>
      </c>
      <c r="B987">
        <v>51321001</v>
      </c>
      <c r="C987">
        <v>14</v>
      </c>
      <c r="D987">
        <v>150100</v>
      </c>
      <c r="E987">
        <v>149001</v>
      </c>
      <c r="F987" t="s">
        <v>115</v>
      </c>
      <c r="G987" t="s">
        <v>69</v>
      </c>
      <c r="H987">
        <v>2308162.96</v>
      </c>
      <c r="I987">
        <v>2308162.96</v>
      </c>
      <c r="J987">
        <v>0</v>
      </c>
      <c r="K987">
        <v>0</v>
      </c>
      <c r="L987">
        <v>0</v>
      </c>
    </row>
    <row r="988" spans="1:12" x14ac:dyDescent="0.25">
      <c r="A988" t="str">
        <f t="shared" si="15"/>
        <v>1501001490012026M08</v>
      </c>
      <c r="B988">
        <v>51321001</v>
      </c>
      <c r="C988">
        <v>14</v>
      </c>
      <c r="D988">
        <v>150100</v>
      </c>
      <c r="E988">
        <v>149001</v>
      </c>
      <c r="F988" t="s">
        <v>115</v>
      </c>
      <c r="G988" t="s">
        <v>70</v>
      </c>
      <c r="H988">
        <v>2308162.96</v>
      </c>
      <c r="I988">
        <v>2308162.96</v>
      </c>
      <c r="J988">
        <v>0</v>
      </c>
      <c r="K988">
        <v>0</v>
      </c>
      <c r="L988">
        <v>0</v>
      </c>
    </row>
    <row r="989" spans="1:12" x14ac:dyDescent="0.25">
      <c r="A989" t="str">
        <f t="shared" si="15"/>
        <v>1501001490012026M09</v>
      </c>
      <c r="B989">
        <v>51321001</v>
      </c>
      <c r="C989">
        <v>14</v>
      </c>
      <c r="D989">
        <v>150100</v>
      </c>
      <c r="E989">
        <v>149001</v>
      </c>
      <c r="F989" t="s">
        <v>115</v>
      </c>
      <c r="G989" t="s">
        <v>71</v>
      </c>
      <c r="H989">
        <v>2308162.96</v>
      </c>
      <c r="I989">
        <v>2308162.96</v>
      </c>
      <c r="J989">
        <v>0</v>
      </c>
      <c r="K989">
        <v>0</v>
      </c>
      <c r="L989">
        <v>0</v>
      </c>
    </row>
    <row r="990" spans="1:12" x14ac:dyDescent="0.25">
      <c r="A990" t="str">
        <f t="shared" si="15"/>
        <v>1501001490012026M10</v>
      </c>
      <c r="B990">
        <v>51321001</v>
      </c>
      <c r="C990">
        <v>14</v>
      </c>
      <c r="D990">
        <v>150100</v>
      </c>
      <c r="E990">
        <v>149001</v>
      </c>
      <c r="F990" t="s">
        <v>115</v>
      </c>
      <c r="G990" t="s">
        <v>72</v>
      </c>
      <c r="H990">
        <v>2308181.3199999998</v>
      </c>
      <c r="I990">
        <v>2308162.96</v>
      </c>
      <c r="J990">
        <v>18.36</v>
      </c>
      <c r="K990">
        <v>0</v>
      </c>
      <c r="L990">
        <v>0</v>
      </c>
    </row>
    <row r="991" spans="1:12" x14ac:dyDescent="0.25">
      <c r="A991" t="str">
        <f t="shared" si="15"/>
        <v>1501001490012026M11</v>
      </c>
      <c r="B991">
        <v>51321001</v>
      </c>
      <c r="C991">
        <v>14</v>
      </c>
      <c r="D991">
        <v>150100</v>
      </c>
      <c r="E991">
        <v>149001</v>
      </c>
      <c r="F991" t="s">
        <v>115</v>
      </c>
      <c r="G991" t="s">
        <v>73</v>
      </c>
      <c r="H991">
        <v>2308165</v>
      </c>
      <c r="I991">
        <v>0</v>
      </c>
      <c r="J991">
        <v>2308165</v>
      </c>
      <c r="K991">
        <v>0</v>
      </c>
      <c r="L991">
        <v>0</v>
      </c>
    </row>
    <row r="992" spans="1:12" x14ac:dyDescent="0.25">
      <c r="A992" t="str">
        <f t="shared" si="15"/>
        <v>1501001490012026M12</v>
      </c>
      <c r="B992">
        <v>51321001</v>
      </c>
      <c r="C992">
        <v>14</v>
      </c>
      <c r="D992">
        <v>150100</v>
      </c>
      <c r="E992">
        <v>149001</v>
      </c>
      <c r="F992" t="s">
        <v>115</v>
      </c>
      <c r="G992" t="s">
        <v>74</v>
      </c>
      <c r="H992">
        <v>4616321</v>
      </c>
      <c r="I992">
        <v>0</v>
      </c>
      <c r="J992">
        <v>4616320.07</v>
      </c>
      <c r="K992">
        <v>0</v>
      </c>
      <c r="L992">
        <v>0.93</v>
      </c>
    </row>
    <row r="993" spans="1:12" x14ac:dyDescent="0.25">
      <c r="A993" t="str">
        <f t="shared" si="15"/>
        <v>1509041481012026M02</v>
      </c>
      <c r="B993">
        <v>51321001</v>
      </c>
      <c r="C993">
        <v>14</v>
      </c>
      <c r="D993">
        <v>150904</v>
      </c>
      <c r="E993">
        <v>148101</v>
      </c>
      <c r="F993" t="s">
        <v>115</v>
      </c>
      <c r="G993" t="s">
        <v>64</v>
      </c>
      <c r="H993">
        <v>5040.2</v>
      </c>
      <c r="I993">
        <v>5040.2</v>
      </c>
      <c r="J993">
        <v>0</v>
      </c>
      <c r="K993">
        <v>0</v>
      </c>
      <c r="L993">
        <v>0</v>
      </c>
    </row>
    <row r="994" spans="1:12" x14ac:dyDescent="0.25">
      <c r="A994" t="str">
        <f t="shared" si="15"/>
        <v>1509041481012026M03</v>
      </c>
      <c r="B994">
        <v>51321001</v>
      </c>
      <c r="C994">
        <v>14</v>
      </c>
      <c r="D994">
        <v>150904</v>
      </c>
      <c r="E994">
        <v>148101</v>
      </c>
      <c r="F994" t="s">
        <v>115</v>
      </c>
      <c r="G994" t="s">
        <v>65</v>
      </c>
      <c r="H994">
        <v>5040.2</v>
      </c>
      <c r="I994">
        <v>5040.2</v>
      </c>
      <c r="J994">
        <v>0</v>
      </c>
      <c r="K994">
        <v>0</v>
      </c>
      <c r="L994">
        <v>0</v>
      </c>
    </row>
    <row r="995" spans="1:12" x14ac:dyDescent="0.25">
      <c r="A995" t="str">
        <f t="shared" si="15"/>
        <v>1509041481012026M04</v>
      </c>
      <c r="B995">
        <v>51321001</v>
      </c>
      <c r="C995">
        <v>14</v>
      </c>
      <c r="D995">
        <v>150904</v>
      </c>
      <c r="E995">
        <v>148101</v>
      </c>
      <c r="F995" t="s">
        <v>115</v>
      </c>
      <c r="G995" t="s">
        <v>66</v>
      </c>
      <c r="H995">
        <v>0</v>
      </c>
      <c r="I995">
        <v>0</v>
      </c>
      <c r="J995">
        <v>0</v>
      </c>
      <c r="K995">
        <v>0</v>
      </c>
      <c r="L995">
        <v>0</v>
      </c>
    </row>
    <row r="996" spans="1:12" x14ac:dyDescent="0.25">
      <c r="A996" t="str">
        <f t="shared" si="15"/>
        <v>1509041481012026M05</v>
      </c>
      <c r="B996">
        <v>51321001</v>
      </c>
      <c r="C996">
        <v>14</v>
      </c>
      <c r="D996">
        <v>150904</v>
      </c>
      <c r="E996">
        <v>148101</v>
      </c>
      <c r="F996" t="s">
        <v>115</v>
      </c>
      <c r="G996" t="s">
        <v>67</v>
      </c>
      <c r="H996">
        <v>10080.4</v>
      </c>
      <c r="I996">
        <v>10080.4</v>
      </c>
      <c r="J996">
        <v>0</v>
      </c>
      <c r="K996">
        <v>0</v>
      </c>
      <c r="L996">
        <v>0</v>
      </c>
    </row>
    <row r="997" spans="1:12" x14ac:dyDescent="0.25">
      <c r="A997" t="str">
        <f t="shared" si="15"/>
        <v>1509041481012026M06</v>
      </c>
      <c r="B997">
        <v>51321001</v>
      </c>
      <c r="C997">
        <v>14</v>
      </c>
      <c r="D997">
        <v>150904</v>
      </c>
      <c r="E997">
        <v>148101</v>
      </c>
      <c r="F997" t="s">
        <v>115</v>
      </c>
      <c r="G997" t="s">
        <v>68</v>
      </c>
      <c r="H997">
        <v>5040.2</v>
      </c>
      <c r="I997">
        <v>5040.2</v>
      </c>
      <c r="J997">
        <v>0</v>
      </c>
      <c r="K997">
        <v>0</v>
      </c>
      <c r="L997">
        <v>0</v>
      </c>
    </row>
    <row r="998" spans="1:12" x14ac:dyDescent="0.25">
      <c r="A998" t="str">
        <f t="shared" si="15"/>
        <v>1509041481012026M07</v>
      </c>
      <c r="B998">
        <v>51321001</v>
      </c>
      <c r="C998">
        <v>14</v>
      </c>
      <c r="D998">
        <v>150904</v>
      </c>
      <c r="E998">
        <v>148101</v>
      </c>
      <c r="F998" t="s">
        <v>115</v>
      </c>
      <c r="G998" t="s">
        <v>69</v>
      </c>
      <c r="H998">
        <v>5040.2</v>
      </c>
      <c r="I998">
        <v>5040.2</v>
      </c>
      <c r="J998">
        <v>0</v>
      </c>
      <c r="K998">
        <v>0</v>
      </c>
      <c r="L998">
        <v>0</v>
      </c>
    </row>
    <row r="999" spans="1:12" x14ac:dyDescent="0.25">
      <c r="A999" t="str">
        <f t="shared" si="15"/>
        <v>1509041481012026M08</v>
      </c>
      <c r="B999">
        <v>51321001</v>
      </c>
      <c r="C999">
        <v>14</v>
      </c>
      <c r="D999">
        <v>150904</v>
      </c>
      <c r="E999">
        <v>148101</v>
      </c>
      <c r="F999" t="s">
        <v>115</v>
      </c>
      <c r="G999" t="s">
        <v>70</v>
      </c>
      <c r="H999">
        <v>5040.2</v>
      </c>
      <c r="I999">
        <v>5040.2</v>
      </c>
      <c r="J999">
        <v>0</v>
      </c>
      <c r="K999">
        <v>0</v>
      </c>
      <c r="L999">
        <v>0</v>
      </c>
    </row>
    <row r="1000" spans="1:12" x14ac:dyDescent="0.25">
      <c r="A1000" t="str">
        <f t="shared" si="15"/>
        <v>1509041481012026M09</v>
      </c>
      <c r="B1000">
        <v>51321001</v>
      </c>
      <c r="C1000">
        <v>14</v>
      </c>
      <c r="D1000">
        <v>150904</v>
      </c>
      <c r="E1000">
        <v>148101</v>
      </c>
      <c r="F1000" t="s">
        <v>115</v>
      </c>
      <c r="G1000" t="s">
        <v>71</v>
      </c>
      <c r="H1000">
        <v>5040.2</v>
      </c>
      <c r="I1000">
        <v>5040.2</v>
      </c>
      <c r="J1000">
        <v>0</v>
      </c>
      <c r="K1000">
        <v>0</v>
      </c>
      <c r="L1000">
        <v>0</v>
      </c>
    </row>
    <row r="1001" spans="1:12" x14ac:dyDescent="0.25">
      <c r="A1001" t="str">
        <f t="shared" si="15"/>
        <v>1509041481012026M10</v>
      </c>
      <c r="B1001">
        <v>51321001</v>
      </c>
      <c r="C1001">
        <v>14</v>
      </c>
      <c r="D1001">
        <v>150904</v>
      </c>
      <c r="E1001">
        <v>148101</v>
      </c>
      <c r="F1001" t="s">
        <v>115</v>
      </c>
      <c r="G1001" t="s">
        <v>72</v>
      </c>
      <c r="H1001">
        <v>5047.3999999999996</v>
      </c>
      <c r="I1001">
        <v>0</v>
      </c>
      <c r="J1001">
        <v>5047.3999999999996</v>
      </c>
      <c r="K1001">
        <v>0</v>
      </c>
      <c r="L1001">
        <v>0</v>
      </c>
    </row>
    <row r="1002" spans="1:12" x14ac:dyDescent="0.25">
      <c r="A1002" t="str">
        <f t="shared" si="15"/>
        <v>1509041481012026M11</v>
      </c>
      <c r="B1002">
        <v>51321001</v>
      </c>
      <c r="C1002">
        <v>14</v>
      </c>
      <c r="D1002">
        <v>150904</v>
      </c>
      <c r="E1002">
        <v>148101</v>
      </c>
      <c r="F1002" t="s">
        <v>115</v>
      </c>
      <c r="G1002" t="s">
        <v>73</v>
      </c>
      <c r="H1002">
        <v>5041</v>
      </c>
      <c r="I1002">
        <v>0</v>
      </c>
      <c r="J1002">
        <v>5041</v>
      </c>
      <c r="K1002">
        <v>0</v>
      </c>
      <c r="L1002">
        <v>0</v>
      </c>
    </row>
    <row r="1003" spans="1:12" x14ac:dyDescent="0.25">
      <c r="A1003" t="str">
        <f t="shared" si="15"/>
        <v>1509041481012026M12</v>
      </c>
      <c r="B1003">
        <v>51321001</v>
      </c>
      <c r="C1003">
        <v>14</v>
      </c>
      <c r="D1003">
        <v>150904</v>
      </c>
      <c r="E1003">
        <v>148101</v>
      </c>
      <c r="F1003" t="s">
        <v>115</v>
      </c>
      <c r="G1003" t="s">
        <v>74</v>
      </c>
      <c r="H1003">
        <v>10072.4</v>
      </c>
      <c r="I1003">
        <v>0</v>
      </c>
      <c r="J1003">
        <v>10072.4</v>
      </c>
      <c r="K1003">
        <v>0</v>
      </c>
      <c r="L1003">
        <v>0</v>
      </c>
    </row>
    <row r="1004" spans="1:12" x14ac:dyDescent="0.25">
      <c r="A1004" t="str">
        <f t="shared" si="15"/>
        <v>2002001401022026M02</v>
      </c>
      <c r="B1004">
        <v>51321001</v>
      </c>
      <c r="C1004">
        <v>14</v>
      </c>
      <c r="D1004">
        <v>200200</v>
      </c>
      <c r="E1004">
        <v>140102</v>
      </c>
      <c r="F1004" t="s">
        <v>115</v>
      </c>
      <c r="G1004" t="s">
        <v>64</v>
      </c>
      <c r="H1004">
        <v>27840</v>
      </c>
      <c r="I1004">
        <v>27840</v>
      </c>
      <c r="J1004">
        <v>0</v>
      </c>
      <c r="K1004">
        <v>0</v>
      </c>
      <c r="L1004">
        <v>0</v>
      </c>
    </row>
    <row r="1005" spans="1:12" x14ac:dyDescent="0.25">
      <c r="A1005" t="str">
        <f t="shared" si="15"/>
        <v>2002001401022026M03</v>
      </c>
      <c r="B1005">
        <v>51321001</v>
      </c>
      <c r="C1005">
        <v>14</v>
      </c>
      <c r="D1005">
        <v>200200</v>
      </c>
      <c r="E1005">
        <v>140102</v>
      </c>
      <c r="F1005" t="s">
        <v>115</v>
      </c>
      <c r="G1005" t="s">
        <v>65</v>
      </c>
      <c r="H1005">
        <v>27840</v>
      </c>
      <c r="I1005">
        <v>27840</v>
      </c>
      <c r="J1005">
        <v>0</v>
      </c>
      <c r="K1005">
        <v>0</v>
      </c>
      <c r="L1005">
        <v>0</v>
      </c>
    </row>
    <row r="1006" spans="1:12" x14ac:dyDescent="0.25">
      <c r="A1006" t="str">
        <f t="shared" si="15"/>
        <v>2002001401022026M04</v>
      </c>
      <c r="B1006">
        <v>51321001</v>
      </c>
      <c r="C1006">
        <v>14</v>
      </c>
      <c r="D1006">
        <v>200200</v>
      </c>
      <c r="E1006">
        <v>140102</v>
      </c>
      <c r="F1006" t="s">
        <v>115</v>
      </c>
      <c r="G1006" t="s">
        <v>66</v>
      </c>
      <c r="H1006">
        <v>27840</v>
      </c>
      <c r="I1006">
        <v>27840</v>
      </c>
      <c r="J1006">
        <v>0</v>
      </c>
      <c r="K1006">
        <v>0</v>
      </c>
      <c r="L1006">
        <v>0</v>
      </c>
    </row>
    <row r="1007" spans="1:12" x14ac:dyDescent="0.25">
      <c r="A1007" t="str">
        <f t="shared" si="15"/>
        <v>2002001401022026M05</v>
      </c>
      <c r="B1007">
        <v>51321001</v>
      </c>
      <c r="C1007">
        <v>14</v>
      </c>
      <c r="D1007">
        <v>200200</v>
      </c>
      <c r="E1007">
        <v>140102</v>
      </c>
      <c r="F1007" t="s">
        <v>115</v>
      </c>
      <c r="G1007" t="s">
        <v>67</v>
      </c>
      <c r="H1007">
        <v>27840</v>
      </c>
      <c r="I1007">
        <v>27840</v>
      </c>
      <c r="J1007">
        <v>0</v>
      </c>
      <c r="K1007">
        <v>0</v>
      </c>
      <c r="L1007">
        <v>0</v>
      </c>
    </row>
    <row r="1008" spans="1:12" x14ac:dyDescent="0.25">
      <c r="A1008" t="str">
        <f t="shared" si="15"/>
        <v>2002001401022026M06</v>
      </c>
      <c r="B1008">
        <v>51321001</v>
      </c>
      <c r="C1008">
        <v>14</v>
      </c>
      <c r="D1008">
        <v>200200</v>
      </c>
      <c r="E1008">
        <v>140102</v>
      </c>
      <c r="F1008" t="s">
        <v>115</v>
      </c>
      <c r="G1008" t="s">
        <v>68</v>
      </c>
      <c r="H1008">
        <v>27840</v>
      </c>
      <c r="I1008">
        <v>27840</v>
      </c>
      <c r="J1008">
        <v>0</v>
      </c>
      <c r="K1008">
        <v>0</v>
      </c>
      <c r="L1008">
        <v>0</v>
      </c>
    </row>
    <row r="1009" spans="1:12" x14ac:dyDescent="0.25">
      <c r="A1009" t="str">
        <f t="shared" si="15"/>
        <v>2002001401022026M07</v>
      </c>
      <c r="B1009">
        <v>51321001</v>
      </c>
      <c r="C1009">
        <v>14</v>
      </c>
      <c r="D1009">
        <v>200200</v>
      </c>
      <c r="E1009">
        <v>140102</v>
      </c>
      <c r="F1009" t="s">
        <v>115</v>
      </c>
      <c r="G1009" t="s">
        <v>69</v>
      </c>
      <c r="H1009">
        <v>27840</v>
      </c>
      <c r="I1009">
        <v>27840</v>
      </c>
      <c r="J1009">
        <v>0</v>
      </c>
      <c r="K1009">
        <v>0</v>
      </c>
      <c r="L1009">
        <v>0</v>
      </c>
    </row>
    <row r="1010" spans="1:12" x14ac:dyDescent="0.25">
      <c r="A1010" t="str">
        <f t="shared" si="15"/>
        <v>2002001401022026M08</v>
      </c>
      <c r="B1010">
        <v>51321001</v>
      </c>
      <c r="C1010">
        <v>14</v>
      </c>
      <c r="D1010">
        <v>200200</v>
      </c>
      <c r="E1010">
        <v>140102</v>
      </c>
      <c r="F1010" t="s">
        <v>115</v>
      </c>
      <c r="G1010" t="s">
        <v>70</v>
      </c>
      <c r="H1010">
        <v>27840</v>
      </c>
      <c r="I1010">
        <v>27840</v>
      </c>
      <c r="J1010">
        <v>0</v>
      </c>
      <c r="K1010">
        <v>0</v>
      </c>
      <c r="L1010">
        <v>0</v>
      </c>
    </row>
    <row r="1011" spans="1:12" x14ac:dyDescent="0.25">
      <c r="A1011" t="str">
        <f t="shared" si="15"/>
        <v>2002001401022026M09</v>
      </c>
      <c r="B1011">
        <v>51321001</v>
      </c>
      <c r="C1011">
        <v>14</v>
      </c>
      <c r="D1011">
        <v>200200</v>
      </c>
      <c r="E1011">
        <v>140102</v>
      </c>
      <c r="F1011" t="s">
        <v>115</v>
      </c>
      <c r="G1011" t="s">
        <v>71</v>
      </c>
      <c r="H1011">
        <v>27840</v>
      </c>
      <c r="I1011">
        <v>27840</v>
      </c>
      <c r="J1011">
        <v>0</v>
      </c>
      <c r="K1011">
        <v>0</v>
      </c>
      <c r="L1011">
        <v>0</v>
      </c>
    </row>
    <row r="1012" spans="1:12" x14ac:dyDescent="0.25">
      <c r="A1012" t="str">
        <f t="shared" si="15"/>
        <v>2002001401022026M10</v>
      </c>
      <c r="B1012">
        <v>51321001</v>
      </c>
      <c r="C1012">
        <v>14</v>
      </c>
      <c r="D1012">
        <v>200200</v>
      </c>
      <c r="E1012">
        <v>140102</v>
      </c>
      <c r="F1012" t="s">
        <v>115</v>
      </c>
      <c r="G1012" t="s">
        <v>72</v>
      </c>
      <c r="H1012">
        <v>95952.3</v>
      </c>
      <c r="I1012">
        <v>0</v>
      </c>
      <c r="J1012">
        <v>29000</v>
      </c>
      <c r="K1012">
        <v>0</v>
      </c>
      <c r="L1012">
        <v>66952.3</v>
      </c>
    </row>
    <row r="1013" spans="1:12" x14ac:dyDescent="0.25">
      <c r="A1013" t="str">
        <f t="shared" si="15"/>
        <v>2002001401022026M11</v>
      </c>
      <c r="B1013">
        <v>51321001</v>
      </c>
      <c r="C1013">
        <v>14</v>
      </c>
      <c r="D1013">
        <v>200200</v>
      </c>
      <c r="E1013">
        <v>140102</v>
      </c>
      <c r="F1013" t="s">
        <v>115</v>
      </c>
      <c r="G1013" t="s">
        <v>73</v>
      </c>
      <c r="H1013">
        <v>55680</v>
      </c>
      <c r="I1013">
        <v>0</v>
      </c>
      <c r="J1013">
        <v>29000</v>
      </c>
      <c r="K1013">
        <v>0</v>
      </c>
      <c r="L1013">
        <v>26680</v>
      </c>
    </row>
    <row r="1014" spans="1:12" x14ac:dyDescent="0.25">
      <c r="A1014" t="str">
        <f t="shared" si="15"/>
        <v>2002001401022026M12</v>
      </c>
      <c r="B1014">
        <v>51321001</v>
      </c>
      <c r="C1014">
        <v>14</v>
      </c>
      <c r="D1014">
        <v>200200</v>
      </c>
      <c r="E1014">
        <v>140102</v>
      </c>
      <c r="F1014" t="s">
        <v>115</v>
      </c>
      <c r="G1014" t="s">
        <v>74</v>
      </c>
      <c r="H1014">
        <v>111360</v>
      </c>
      <c r="I1014">
        <v>0</v>
      </c>
      <c r="J1014">
        <v>58000</v>
      </c>
      <c r="K1014">
        <v>0</v>
      </c>
      <c r="L1014">
        <v>53360</v>
      </c>
    </row>
    <row r="1015" spans="1:12" x14ac:dyDescent="0.25">
      <c r="A1015" t="str">
        <f t="shared" si="15"/>
        <v>2002001401032026M02</v>
      </c>
      <c r="B1015">
        <v>51321001</v>
      </c>
      <c r="C1015">
        <v>14</v>
      </c>
      <c r="D1015">
        <v>200200</v>
      </c>
      <c r="E1015">
        <v>140103</v>
      </c>
      <c r="F1015" t="s">
        <v>115</v>
      </c>
      <c r="G1015" t="s">
        <v>64</v>
      </c>
      <c r="H1015">
        <v>913</v>
      </c>
      <c r="I1015">
        <v>913</v>
      </c>
      <c r="J1015">
        <v>0</v>
      </c>
      <c r="K1015">
        <v>0</v>
      </c>
      <c r="L1015">
        <v>0</v>
      </c>
    </row>
    <row r="1016" spans="1:12" x14ac:dyDescent="0.25">
      <c r="A1016" t="str">
        <f t="shared" si="15"/>
        <v>2002001401032026M03</v>
      </c>
      <c r="B1016">
        <v>51321001</v>
      </c>
      <c r="C1016">
        <v>14</v>
      </c>
      <c r="D1016">
        <v>200200</v>
      </c>
      <c r="E1016">
        <v>140103</v>
      </c>
      <c r="F1016" t="s">
        <v>115</v>
      </c>
      <c r="G1016" t="s">
        <v>65</v>
      </c>
      <c r="H1016">
        <v>913</v>
      </c>
      <c r="I1016">
        <v>913</v>
      </c>
      <c r="J1016">
        <v>0</v>
      </c>
      <c r="K1016">
        <v>0</v>
      </c>
      <c r="L1016">
        <v>0</v>
      </c>
    </row>
    <row r="1017" spans="1:12" x14ac:dyDescent="0.25">
      <c r="A1017" t="str">
        <f t="shared" si="15"/>
        <v>2002001401032026M04</v>
      </c>
      <c r="B1017">
        <v>51321001</v>
      </c>
      <c r="C1017">
        <v>14</v>
      </c>
      <c r="D1017">
        <v>200200</v>
      </c>
      <c r="E1017">
        <v>140103</v>
      </c>
      <c r="F1017" t="s">
        <v>115</v>
      </c>
      <c r="G1017" t="s">
        <v>66</v>
      </c>
      <c r="H1017">
        <v>0</v>
      </c>
      <c r="I1017">
        <v>0</v>
      </c>
      <c r="J1017">
        <v>0</v>
      </c>
      <c r="K1017">
        <v>0</v>
      </c>
      <c r="L1017">
        <v>0</v>
      </c>
    </row>
    <row r="1018" spans="1:12" x14ac:dyDescent="0.25">
      <c r="A1018" t="str">
        <f t="shared" si="15"/>
        <v>2002001401032026M05</v>
      </c>
      <c r="B1018">
        <v>51321001</v>
      </c>
      <c r="C1018">
        <v>14</v>
      </c>
      <c r="D1018">
        <v>200200</v>
      </c>
      <c r="E1018">
        <v>140103</v>
      </c>
      <c r="F1018" t="s">
        <v>115</v>
      </c>
      <c r="G1018" t="s">
        <v>67</v>
      </c>
      <c r="H1018">
        <v>1826</v>
      </c>
      <c r="I1018">
        <v>1826</v>
      </c>
      <c r="J1018">
        <v>0</v>
      </c>
      <c r="K1018">
        <v>0</v>
      </c>
      <c r="L1018">
        <v>0</v>
      </c>
    </row>
    <row r="1019" spans="1:12" x14ac:dyDescent="0.25">
      <c r="A1019" t="str">
        <f t="shared" si="15"/>
        <v>2002001401032026M06</v>
      </c>
      <c r="B1019">
        <v>51321001</v>
      </c>
      <c r="C1019">
        <v>14</v>
      </c>
      <c r="D1019">
        <v>200200</v>
      </c>
      <c r="E1019">
        <v>140103</v>
      </c>
      <c r="F1019" t="s">
        <v>115</v>
      </c>
      <c r="G1019" t="s">
        <v>68</v>
      </c>
      <c r="H1019">
        <v>913</v>
      </c>
      <c r="I1019">
        <v>913</v>
      </c>
      <c r="J1019">
        <v>0</v>
      </c>
      <c r="K1019">
        <v>0</v>
      </c>
      <c r="L1019">
        <v>0</v>
      </c>
    </row>
    <row r="1020" spans="1:12" x14ac:dyDescent="0.25">
      <c r="A1020" t="str">
        <f t="shared" si="15"/>
        <v>2002001401032026M07</v>
      </c>
      <c r="B1020">
        <v>51321001</v>
      </c>
      <c r="C1020">
        <v>14</v>
      </c>
      <c r="D1020">
        <v>200200</v>
      </c>
      <c r="E1020">
        <v>140103</v>
      </c>
      <c r="F1020" t="s">
        <v>115</v>
      </c>
      <c r="G1020" t="s">
        <v>69</v>
      </c>
      <c r="H1020">
        <v>913</v>
      </c>
      <c r="I1020">
        <v>913</v>
      </c>
      <c r="J1020">
        <v>0</v>
      </c>
      <c r="K1020">
        <v>0</v>
      </c>
      <c r="L1020">
        <v>0</v>
      </c>
    </row>
    <row r="1021" spans="1:12" x14ac:dyDescent="0.25">
      <c r="A1021" t="str">
        <f t="shared" si="15"/>
        <v>2002001401032026M08</v>
      </c>
      <c r="B1021">
        <v>51321001</v>
      </c>
      <c r="C1021">
        <v>14</v>
      </c>
      <c r="D1021">
        <v>200200</v>
      </c>
      <c r="E1021">
        <v>140103</v>
      </c>
      <c r="F1021" t="s">
        <v>115</v>
      </c>
      <c r="G1021" t="s">
        <v>70</v>
      </c>
      <c r="H1021">
        <v>913</v>
      </c>
      <c r="I1021">
        <v>913</v>
      </c>
      <c r="J1021">
        <v>0</v>
      </c>
      <c r="K1021">
        <v>0</v>
      </c>
      <c r="L1021">
        <v>0</v>
      </c>
    </row>
    <row r="1022" spans="1:12" x14ac:dyDescent="0.25">
      <c r="A1022" t="str">
        <f t="shared" si="15"/>
        <v>2002001401032026M09</v>
      </c>
      <c r="B1022">
        <v>51321001</v>
      </c>
      <c r="C1022">
        <v>14</v>
      </c>
      <c r="D1022">
        <v>200200</v>
      </c>
      <c r="E1022">
        <v>140103</v>
      </c>
      <c r="F1022" t="s">
        <v>115</v>
      </c>
      <c r="G1022" t="s">
        <v>71</v>
      </c>
      <c r="H1022">
        <v>913</v>
      </c>
      <c r="I1022">
        <v>913</v>
      </c>
      <c r="J1022">
        <v>0</v>
      </c>
      <c r="K1022">
        <v>0</v>
      </c>
      <c r="L1022">
        <v>0</v>
      </c>
    </row>
    <row r="1023" spans="1:12" x14ac:dyDescent="0.25">
      <c r="A1023" t="str">
        <f t="shared" si="15"/>
        <v>2002001401032026M10</v>
      </c>
      <c r="B1023">
        <v>51321001</v>
      </c>
      <c r="C1023">
        <v>14</v>
      </c>
      <c r="D1023">
        <v>200200</v>
      </c>
      <c r="E1023">
        <v>140103</v>
      </c>
      <c r="F1023" t="s">
        <v>115</v>
      </c>
      <c r="G1023" t="s">
        <v>72</v>
      </c>
      <c r="H1023">
        <v>913</v>
      </c>
      <c r="I1023">
        <v>0</v>
      </c>
      <c r="J1023">
        <v>913</v>
      </c>
      <c r="K1023">
        <v>0</v>
      </c>
      <c r="L1023">
        <v>0</v>
      </c>
    </row>
    <row r="1024" spans="1:12" x14ac:dyDescent="0.25">
      <c r="A1024" t="str">
        <f t="shared" si="15"/>
        <v>2002001401032026M11</v>
      </c>
      <c r="B1024">
        <v>51321001</v>
      </c>
      <c r="C1024">
        <v>14</v>
      </c>
      <c r="D1024">
        <v>200200</v>
      </c>
      <c r="E1024">
        <v>140103</v>
      </c>
      <c r="F1024" t="s">
        <v>115</v>
      </c>
      <c r="G1024" t="s">
        <v>73</v>
      </c>
      <c r="H1024">
        <v>913</v>
      </c>
      <c r="I1024">
        <v>0</v>
      </c>
      <c r="J1024">
        <v>913</v>
      </c>
      <c r="K1024">
        <v>0</v>
      </c>
      <c r="L1024">
        <v>0</v>
      </c>
    </row>
    <row r="1025" spans="1:12" x14ac:dyDescent="0.25">
      <c r="A1025" t="str">
        <f t="shared" si="15"/>
        <v>2002001401032026M12</v>
      </c>
      <c r="B1025">
        <v>51321001</v>
      </c>
      <c r="C1025">
        <v>14</v>
      </c>
      <c r="D1025">
        <v>200200</v>
      </c>
      <c r="E1025">
        <v>140103</v>
      </c>
      <c r="F1025" t="s">
        <v>115</v>
      </c>
      <c r="G1025" t="s">
        <v>74</v>
      </c>
      <c r="H1025">
        <v>1831</v>
      </c>
      <c r="I1025">
        <v>0</v>
      </c>
      <c r="J1025">
        <v>1830.61</v>
      </c>
      <c r="K1025">
        <v>0</v>
      </c>
      <c r="L1025">
        <v>0.39</v>
      </c>
    </row>
    <row r="1026" spans="1:12" x14ac:dyDescent="0.25">
      <c r="A1026" t="str">
        <f t="shared" si="15"/>
        <v>2002001422112026M02</v>
      </c>
      <c r="B1026">
        <v>51321001</v>
      </c>
      <c r="C1026">
        <v>14</v>
      </c>
      <c r="D1026">
        <v>200200</v>
      </c>
      <c r="E1026">
        <v>142211</v>
      </c>
      <c r="F1026" t="s">
        <v>115</v>
      </c>
      <c r="G1026" t="s">
        <v>64</v>
      </c>
      <c r="H1026">
        <v>6412.48</v>
      </c>
      <c r="I1026">
        <v>6412.48</v>
      </c>
      <c r="J1026">
        <v>0</v>
      </c>
      <c r="K1026">
        <v>0</v>
      </c>
      <c r="L1026">
        <v>0</v>
      </c>
    </row>
    <row r="1027" spans="1:12" x14ac:dyDescent="0.25">
      <c r="A1027" t="str">
        <f t="shared" si="15"/>
        <v>2002001422112026M03</v>
      </c>
      <c r="B1027">
        <v>51321001</v>
      </c>
      <c r="C1027">
        <v>14</v>
      </c>
      <c r="D1027">
        <v>200200</v>
      </c>
      <c r="E1027">
        <v>142211</v>
      </c>
      <c r="F1027" t="s">
        <v>115</v>
      </c>
      <c r="G1027" t="s">
        <v>65</v>
      </c>
      <c r="H1027">
        <v>6412.48</v>
      </c>
      <c r="I1027">
        <v>6412.48</v>
      </c>
      <c r="J1027">
        <v>0</v>
      </c>
      <c r="K1027">
        <v>0</v>
      </c>
      <c r="L1027">
        <v>0</v>
      </c>
    </row>
    <row r="1028" spans="1:12" x14ac:dyDescent="0.25">
      <c r="A1028" t="str">
        <f t="shared" si="15"/>
        <v>2002001422112026M04</v>
      </c>
      <c r="B1028">
        <v>51321001</v>
      </c>
      <c r="C1028">
        <v>14</v>
      </c>
      <c r="D1028">
        <v>200200</v>
      </c>
      <c r="E1028">
        <v>142211</v>
      </c>
      <c r="F1028" t="s">
        <v>115</v>
      </c>
      <c r="G1028" t="s">
        <v>66</v>
      </c>
      <c r="H1028">
        <v>0</v>
      </c>
      <c r="I1028">
        <v>0</v>
      </c>
      <c r="J1028">
        <v>0</v>
      </c>
      <c r="K1028">
        <v>0</v>
      </c>
      <c r="L1028">
        <v>0</v>
      </c>
    </row>
    <row r="1029" spans="1:12" x14ac:dyDescent="0.25">
      <c r="A1029" t="str">
        <f t="shared" si="15"/>
        <v>2002001422112026M05</v>
      </c>
      <c r="B1029">
        <v>51321001</v>
      </c>
      <c r="C1029">
        <v>14</v>
      </c>
      <c r="D1029">
        <v>200200</v>
      </c>
      <c r="E1029">
        <v>142211</v>
      </c>
      <c r="F1029" t="s">
        <v>115</v>
      </c>
      <c r="G1029" t="s">
        <v>67</v>
      </c>
      <c r="H1029">
        <v>12824.96</v>
      </c>
      <c r="I1029">
        <v>12824.96</v>
      </c>
      <c r="J1029">
        <v>0</v>
      </c>
      <c r="K1029">
        <v>0</v>
      </c>
      <c r="L1029">
        <v>0</v>
      </c>
    </row>
    <row r="1030" spans="1:12" x14ac:dyDescent="0.25">
      <c r="A1030" t="str">
        <f t="shared" si="15"/>
        <v>2002001422112026M06</v>
      </c>
      <c r="B1030">
        <v>51321001</v>
      </c>
      <c r="C1030">
        <v>14</v>
      </c>
      <c r="D1030">
        <v>200200</v>
      </c>
      <c r="E1030">
        <v>142211</v>
      </c>
      <c r="F1030" t="s">
        <v>115</v>
      </c>
      <c r="G1030" t="s">
        <v>68</v>
      </c>
      <c r="H1030">
        <v>6412.48</v>
      </c>
      <c r="I1030">
        <v>6412.48</v>
      </c>
      <c r="J1030">
        <v>0</v>
      </c>
      <c r="K1030">
        <v>0</v>
      </c>
      <c r="L1030">
        <v>0</v>
      </c>
    </row>
    <row r="1031" spans="1:12" x14ac:dyDescent="0.25">
      <c r="A1031" t="str">
        <f t="shared" si="15"/>
        <v>2002001422112026M07</v>
      </c>
      <c r="B1031">
        <v>51321001</v>
      </c>
      <c r="C1031">
        <v>14</v>
      </c>
      <c r="D1031">
        <v>200200</v>
      </c>
      <c r="E1031">
        <v>142211</v>
      </c>
      <c r="F1031" t="s">
        <v>115</v>
      </c>
      <c r="G1031" t="s">
        <v>69</v>
      </c>
      <c r="H1031">
        <v>6412.48</v>
      </c>
      <c r="I1031">
        <v>6412.48</v>
      </c>
      <c r="J1031">
        <v>0</v>
      </c>
      <c r="K1031">
        <v>0</v>
      </c>
      <c r="L1031">
        <v>0</v>
      </c>
    </row>
    <row r="1032" spans="1:12" x14ac:dyDescent="0.25">
      <c r="A1032" t="str">
        <f t="shared" si="15"/>
        <v>2002001422112026M08</v>
      </c>
      <c r="B1032">
        <v>51321001</v>
      </c>
      <c r="C1032">
        <v>14</v>
      </c>
      <c r="D1032">
        <v>200200</v>
      </c>
      <c r="E1032">
        <v>142211</v>
      </c>
      <c r="F1032" t="s">
        <v>115</v>
      </c>
      <c r="G1032" t="s">
        <v>70</v>
      </c>
      <c r="H1032">
        <v>6412.48</v>
      </c>
      <c r="I1032">
        <v>6412.48</v>
      </c>
      <c r="J1032">
        <v>0</v>
      </c>
      <c r="K1032">
        <v>0</v>
      </c>
      <c r="L1032">
        <v>0</v>
      </c>
    </row>
    <row r="1033" spans="1:12" x14ac:dyDescent="0.25">
      <c r="A1033" t="str">
        <f t="shared" si="15"/>
        <v>2002001422112026M09</v>
      </c>
      <c r="B1033">
        <v>51321001</v>
      </c>
      <c r="C1033">
        <v>14</v>
      </c>
      <c r="D1033">
        <v>200200</v>
      </c>
      <c r="E1033">
        <v>142211</v>
      </c>
      <c r="F1033" t="s">
        <v>115</v>
      </c>
      <c r="G1033" t="s">
        <v>71</v>
      </c>
      <c r="H1033">
        <v>6412.48</v>
      </c>
      <c r="I1033">
        <v>6412.48</v>
      </c>
      <c r="J1033">
        <v>0</v>
      </c>
      <c r="K1033">
        <v>0</v>
      </c>
      <c r="L1033">
        <v>0</v>
      </c>
    </row>
    <row r="1034" spans="1:12" x14ac:dyDescent="0.25">
      <c r="A1034" t="str">
        <f t="shared" si="15"/>
        <v>2002001422112026M10</v>
      </c>
      <c r="B1034">
        <v>51321001</v>
      </c>
      <c r="C1034">
        <v>14</v>
      </c>
      <c r="D1034">
        <v>200200</v>
      </c>
      <c r="E1034">
        <v>142211</v>
      </c>
      <c r="F1034" t="s">
        <v>115</v>
      </c>
      <c r="G1034" t="s">
        <v>72</v>
      </c>
      <c r="H1034">
        <v>6417.16</v>
      </c>
      <c r="I1034">
        <v>0</v>
      </c>
      <c r="J1034">
        <v>6417.16</v>
      </c>
      <c r="K1034">
        <v>0</v>
      </c>
      <c r="L1034">
        <v>0</v>
      </c>
    </row>
    <row r="1035" spans="1:12" x14ac:dyDescent="0.25">
      <c r="A1035" t="str">
        <f t="shared" ref="A1035:A1098" si="16">D1035&amp;E1035&amp;G1035</f>
        <v>2002001422112026M11</v>
      </c>
      <c r="B1035">
        <v>51321001</v>
      </c>
      <c r="C1035">
        <v>14</v>
      </c>
      <c r="D1035">
        <v>200200</v>
      </c>
      <c r="E1035">
        <v>142211</v>
      </c>
      <c r="F1035" t="s">
        <v>115</v>
      </c>
      <c r="G1035" t="s">
        <v>73</v>
      </c>
      <c r="H1035">
        <v>6413</v>
      </c>
      <c r="I1035">
        <v>0</v>
      </c>
      <c r="J1035">
        <v>6413</v>
      </c>
      <c r="K1035">
        <v>0</v>
      </c>
      <c r="L1035">
        <v>0</v>
      </c>
    </row>
    <row r="1036" spans="1:12" x14ac:dyDescent="0.25">
      <c r="A1036" t="str">
        <f t="shared" si="16"/>
        <v>2002001422112026M12</v>
      </c>
      <c r="B1036">
        <v>51321001</v>
      </c>
      <c r="C1036">
        <v>14</v>
      </c>
      <c r="D1036">
        <v>200200</v>
      </c>
      <c r="E1036">
        <v>142211</v>
      </c>
      <c r="F1036" t="s">
        <v>115</v>
      </c>
      <c r="G1036" t="s">
        <v>74</v>
      </c>
      <c r="H1036">
        <v>12819.76</v>
      </c>
      <c r="I1036">
        <v>0</v>
      </c>
      <c r="J1036">
        <v>12819.76</v>
      </c>
      <c r="K1036">
        <v>0</v>
      </c>
      <c r="L1036">
        <v>0</v>
      </c>
    </row>
    <row r="1037" spans="1:12" x14ac:dyDescent="0.25">
      <c r="A1037" t="str">
        <f t="shared" si="16"/>
        <v>2002001422122026M02</v>
      </c>
      <c r="B1037">
        <v>51321001</v>
      </c>
      <c r="C1037">
        <v>14</v>
      </c>
      <c r="D1037">
        <v>200200</v>
      </c>
      <c r="E1037">
        <v>142212</v>
      </c>
      <c r="F1037" t="s">
        <v>115</v>
      </c>
      <c r="G1037" t="s">
        <v>64</v>
      </c>
      <c r="H1037">
        <v>15079.64</v>
      </c>
      <c r="I1037">
        <v>15079.64</v>
      </c>
      <c r="J1037">
        <v>0</v>
      </c>
      <c r="K1037">
        <v>0</v>
      </c>
      <c r="L1037">
        <v>0</v>
      </c>
    </row>
    <row r="1038" spans="1:12" x14ac:dyDescent="0.25">
      <c r="A1038" t="str">
        <f t="shared" si="16"/>
        <v>2002001422122026M03</v>
      </c>
      <c r="B1038">
        <v>51321001</v>
      </c>
      <c r="C1038">
        <v>14</v>
      </c>
      <c r="D1038">
        <v>200200</v>
      </c>
      <c r="E1038">
        <v>142212</v>
      </c>
      <c r="F1038" t="s">
        <v>115</v>
      </c>
      <c r="G1038" t="s">
        <v>65</v>
      </c>
      <c r="H1038">
        <v>0</v>
      </c>
      <c r="I1038">
        <v>0</v>
      </c>
      <c r="J1038">
        <v>0</v>
      </c>
      <c r="K1038">
        <v>0</v>
      </c>
      <c r="L1038">
        <v>0</v>
      </c>
    </row>
    <row r="1039" spans="1:12" x14ac:dyDescent="0.25">
      <c r="A1039" t="str">
        <f t="shared" si="16"/>
        <v>2002001422122026M04</v>
      </c>
      <c r="B1039">
        <v>51321001</v>
      </c>
      <c r="C1039">
        <v>14</v>
      </c>
      <c r="D1039">
        <v>200200</v>
      </c>
      <c r="E1039">
        <v>142212</v>
      </c>
      <c r="F1039" t="s">
        <v>115</v>
      </c>
      <c r="G1039" t="s">
        <v>66</v>
      </c>
      <c r="H1039">
        <v>30159.279999999999</v>
      </c>
      <c r="I1039">
        <v>30159.279999999999</v>
      </c>
      <c r="J1039">
        <v>0</v>
      </c>
      <c r="K1039">
        <v>0</v>
      </c>
      <c r="L1039">
        <v>0</v>
      </c>
    </row>
    <row r="1040" spans="1:12" x14ac:dyDescent="0.25">
      <c r="A1040" t="str">
        <f t="shared" si="16"/>
        <v>2002001422122026M05</v>
      </c>
      <c r="B1040">
        <v>51321001</v>
      </c>
      <c r="C1040">
        <v>14</v>
      </c>
      <c r="D1040">
        <v>200200</v>
      </c>
      <c r="E1040">
        <v>142212</v>
      </c>
      <c r="F1040" t="s">
        <v>115</v>
      </c>
      <c r="G1040" t="s">
        <v>67</v>
      </c>
      <c r="H1040">
        <v>15079.64</v>
      </c>
      <c r="I1040">
        <v>15079.64</v>
      </c>
      <c r="J1040">
        <v>0</v>
      </c>
      <c r="K1040">
        <v>0</v>
      </c>
      <c r="L1040">
        <v>0</v>
      </c>
    </row>
    <row r="1041" spans="1:12" x14ac:dyDescent="0.25">
      <c r="A1041" t="str">
        <f t="shared" si="16"/>
        <v>2002001422122026M06</v>
      </c>
      <c r="B1041">
        <v>51321001</v>
      </c>
      <c r="C1041">
        <v>14</v>
      </c>
      <c r="D1041">
        <v>200200</v>
      </c>
      <c r="E1041">
        <v>142212</v>
      </c>
      <c r="F1041" t="s">
        <v>115</v>
      </c>
      <c r="G1041" t="s">
        <v>68</v>
      </c>
      <c r="H1041">
        <v>15079.64</v>
      </c>
      <c r="I1041">
        <v>15079.64</v>
      </c>
      <c r="J1041">
        <v>0</v>
      </c>
      <c r="K1041">
        <v>0</v>
      </c>
      <c r="L1041">
        <v>0</v>
      </c>
    </row>
    <row r="1042" spans="1:12" x14ac:dyDescent="0.25">
      <c r="A1042" t="str">
        <f t="shared" si="16"/>
        <v>2002001422122026M07</v>
      </c>
      <c r="B1042">
        <v>51321001</v>
      </c>
      <c r="C1042">
        <v>14</v>
      </c>
      <c r="D1042">
        <v>200200</v>
      </c>
      <c r="E1042">
        <v>142212</v>
      </c>
      <c r="F1042" t="s">
        <v>115</v>
      </c>
      <c r="G1042" t="s">
        <v>69</v>
      </c>
      <c r="H1042">
        <v>15079.64</v>
      </c>
      <c r="I1042">
        <v>15079.64</v>
      </c>
      <c r="J1042">
        <v>0</v>
      </c>
      <c r="K1042">
        <v>0</v>
      </c>
      <c r="L1042">
        <v>0</v>
      </c>
    </row>
    <row r="1043" spans="1:12" x14ac:dyDescent="0.25">
      <c r="A1043" t="str">
        <f t="shared" si="16"/>
        <v>2002001422122026M08</v>
      </c>
      <c r="B1043">
        <v>51321001</v>
      </c>
      <c r="C1043">
        <v>14</v>
      </c>
      <c r="D1043">
        <v>200200</v>
      </c>
      <c r="E1043">
        <v>142212</v>
      </c>
      <c r="F1043" t="s">
        <v>115</v>
      </c>
      <c r="G1043" t="s">
        <v>70</v>
      </c>
      <c r="H1043">
        <v>15079.64</v>
      </c>
      <c r="I1043">
        <v>15079.64</v>
      </c>
      <c r="J1043">
        <v>0</v>
      </c>
      <c r="K1043">
        <v>0</v>
      </c>
      <c r="L1043">
        <v>0</v>
      </c>
    </row>
    <row r="1044" spans="1:12" x14ac:dyDescent="0.25">
      <c r="A1044" t="str">
        <f t="shared" si="16"/>
        <v>2002001422122026M09</v>
      </c>
      <c r="B1044">
        <v>51321001</v>
      </c>
      <c r="C1044">
        <v>14</v>
      </c>
      <c r="D1044">
        <v>200200</v>
      </c>
      <c r="E1044">
        <v>142212</v>
      </c>
      <c r="F1044" t="s">
        <v>115</v>
      </c>
      <c r="G1044" t="s">
        <v>71</v>
      </c>
      <c r="H1044">
        <v>0</v>
      </c>
      <c r="I1044">
        <v>0</v>
      </c>
      <c r="J1044">
        <v>0</v>
      </c>
      <c r="K1044">
        <v>0</v>
      </c>
      <c r="L1044">
        <v>0</v>
      </c>
    </row>
    <row r="1045" spans="1:12" x14ac:dyDescent="0.25">
      <c r="A1045" t="str">
        <f t="shared" si="16"/>
        <v>2002001422122026M10</v>
      </c>
      <c r="B1045">
        <v>51321001</v>
      </c>
      <c r="C1045">
        <v>14</v>
      </c>
      <c r="D1045">
        <v>200200</v>
      </c>
      <c r="E1045">
        <v>142212</v>
      </c>
      <c r="F1045" t="s">
        <v>115</v>
      </c>
      <c r="G1045" t="s">
        <v>72</v>
      </c>
      <c r="H1045">
        <v>30162.52</v>
      </c>
      <c r="I1045">
        <v>0</v>
      </c>
      <c r="J1045">
        <v>30162.52</v>
      </c>
      <c r="K1045">
        <v>0</v>
      </c>
      <c r="L1045">
        <v>0</v>
      </c>
    </row>
    <row r="1046" spans="1:12" x14ac:dyDescent="0.25">
      <c r="A1046" t="str">
        <f t="shared" si="16"/>
        <v>2002001422122026M11</v>
      </c>
      <c r="B1046">
        <v>51321001</v>
      </c>
      <c r="C1046">
        <v>14</v>
      </c>
      <c r="D1046">
        <v>200200</v>
      </c>
      <c r="E1046">
        <v>142212</v>
      </c>
      <c r="F1046" t="s">
        <v>115</v>
      </c>
      <c r="G1046" t="s">
        <v>73</v>
      </c>
      <c r="H1046">
        <v>15080</v>
      </c>
      <c r="I1046">
        <v>0</v>
      </c>
      <c r="J1046">
        <v>15080</v>
      </c>
      <c r="K1046">
        <v>0</v>
      </c>
      <c r="L1046">
        <v>0</v>
      </c>
    </row>
    <row r="1047" spans="1:12" x14ac:dyDescent="0.25">
      <c r="A1047" t="str">
        <f t="shared" si="16"/>
        <v>2002001422122026M12</v>
      </c>
      <c r="B1047">
        <v>51321001</v>
      </c>
      <c r="C1047">
        <v>14</v>
      </c>
      <c r="D1047">
        <v>200200</v>
      </c>
      <c r="E1047">
        <v>142212</v>
      </c>
      <c r="F1047" t="s">
        <v>115</v>
      </c>
      <c r="G1047" t="s">
        <v>74</v>
      </c>
      <c r="H1047">
        <v>30160</v>
      </c>
      <c r="I1047">
        <v>0</v>
      </c>
      <c r="J1047">
        <v>30160</v>
      </c>
      <c r="K1047">
        <v>0</v>
      </c>
      <c r="L1047">
        <v>0</v>
      </c>
    </row>
    <row r="1048" spans="1:12" x14ac:dyDescent="0.25">
      <c r="A1048" t="str">
        <f t="shared" si="16"/>
        <v>2002001424092026M02</v>
      </c>
      <c r="B1048">
        <v>51321001</v>
      </c>
      <c r="C1048">
        <v>14</v>
      </c>
      <c r="D1048">
        <v>200200</v>
      </c>
      <c r="E1048">
        <v>142409</v>
      </c>
      <c r="F1048" t="s">
        <v>115</v>
      </c>
      <c r="G1048" t="s">
        <v>64</v>
      </c>
      <c r="H1048">
        <v>22620</v>
      </c>
      <c r="I1048">
        <v>22620</v>
      </c>
      <c r="J1048">
        <v>0</v>
      </c>
      <c r="K1048">
        <v>0</v>
      </c>
      <c r="L1048">
        <v>0</v>
      </c>
    </row>
    <row r="1049" spans="1:12" x14ac:dyDescent="0.25">
      <c r="A1049" t="str">
        <f t="shared" si="16"/>
        <v>2002001424092026M03</v>
      </c>
      <c r="B1049">
        <v>51321001</v>
      </c>
      <c r="C1049">
        <v>14</v>
      </c>
      <c r="D1049">
        <v>200200</v>
      </c>
      <c r="E1049">
        <v>142409</v>
      </c>
      <c r="F1049" t="s">
        <v>115</v>
      </c>
      <c r="G1049" t="s">
        <v>65</v>
      </c>
      <c r="H1049">
        <v>22620</v>
      </c>
      <c r="I1049">
        <v>22620</v>
      </c>
      <c r="J1049">
        <v>0</v>
      </c>
      <c r="K1049">
        <v>0</v>
      </c>
      <c r="L1049">
        <v>0</v>
      </c>
    </row>
    <row r="1050" spans="1:12" x14ac:dyDescent="0.25">
      <c r="A1050" t="str">
        <f t="shared" si="16"/>
        <v>2002001424092026M04</v>
      </c>
      <c r="B1050">
        <v>51321001</v>
      </c>
      <c r="C1050">
        <v>14</v>
      </c>
      <c r="D1050">
        <v>200200</v>
      </c>
      <c r="E1050">
        <v>142409</v>
      </c>
      <c r="F1050" t="s">
        <v>115</v>
      </c>
      <c r="G1050" t="s">
        <v>66</v>
      </c>
      <c r="H1050">
        <v>0</v>
      </c>
      <c r="I1050">
        <v>0</v>
      </c>
      <c r="J1050">
        <v>0</v>
      </c>
      <c r="K1050">
        <v>0</v>
      </c>
      <c r="L1050">
        <v>0</v>
      </c>
    </row>
    <row r="1051" spans="1:12" x14ac:dyDescent="0.25">
      <c r="A1051" t="str">
        <f t="shared" si="16"/>
        <v>2002001424092026M05</v>
      </c>
      <c r="B1051">
        <v>51321001</v>
      </c>
      <c r="C1051">
        <v>14</v>
      </c>
      <c r="D1051">
        <v>200200</v>
      </c>
      <c r="E1051">
        <v>142409</v>
      </c>
      <c r="F1051" t="s">
        <v>115</v>
      </c>
      <c r="G1051" t="s">
        <v>67</v>
      </c>
      <c r="H1051">
        <v>45240</v>
      </c>
      <c r="I1051">
        <v>45240</v>
      </c>
      <c r="J1051">
        <v>0</v>
      </c>
      <c r="K1051">
        <v>0</v>
      </c>
      <c r="L1051">
        <v>0</v>
      </c>
    </row>
    <row r="1052" spans="1:12" x14ac:dyDescent="0.25">
      <c r="A1052" t="str">
        <f t="shared" si="16"/>
        <v>2002001424092026M06</v>
      </c>
      <c r="B1052">
        <v>51321001</v>
      </c>
      <c r="C1052">
        <v>14</v>
      </c>
      <c r="D1052">
        <v>200200</v>
      </c>
      <c r="E1052">
        <v>142409</v>
      </c>
      <c r="F1052" t="s">
        <v>115</v>
      </c>
      <c r="G1052" t="s">
        <v>68</v>
      </c>
      <c r="H1052">
        <v>22620</v>
      </c>
      <c r="I1052">
        <v>22620</v>
      </c>
      <c r="J1052">
        <v>0</v>
      </c>
      <c r="K1052">
        <v>0</v>
      </c>
      <c r="L1052">
        <v>0</v>
      </c>
    </row>
    <row r="1053" spans="1:12" x14ac:dyDescent="0.25">
      <c r="A1053" t="str">
        <f t="shared" si="16"/>
        <v>2002001424092026M07</v>
      </c>
      <c r="B1053">
        <v>51321001</v>
      </c>
      <c r="C1053">
        <v>14</v>
      </c>
      <c r="D1053">
        <v>200200</v>
      </c>
      <c r="E1053">
        <v>142409</v>
      </c>
      <c r="F1053" t="s">
        <v>115</v>
      </c>
      <c r="G1053" t="s">
        <v>69</v>
      </c>
      <c r="H1053">
        <v>22620</v>
      </c>
      <c r="I1053">
        <v>22620</v>
      </c>
      <c r="J1053">
        <v>0</v>
      </c>
      <c r="K1053">
        <v>0</v>
      </c>
      <c r="L1053">
        <v>0</v>
      </c>
    </row>
    <row r="1054" spans="1:12" x14ac:dyDescent="0.25">
      <c r="A1054" t="str">
        <f t="shared" si="16"/>
        <v>2002001424092026M08</v>
      </c>
      <c r="B1054">
        <v>51321001</v>
      </c>
      <c r="C1054">
        <v>14</v>
      </c>
      <c r="D1054">
        <v>200200</v>
      </c>
      <c r="E1054">
        <v>142409</v>
      </c>
      <c r="F1054" t="s">
        <v>115</v>
      </c>
      <c r="G1054" t="s">
        <v>70</v>
      </c>
      <c r="H1054">
        <v>22620</v>
      </c>
      <c r="I1054">
        <v>22620</v>
      </c>
      <c r="J1054">
        <v>0</v>
      </c>
      <c r="K1054">
        <v>0</v>
      </c>
      <c r="L1054">
        <v>0</v>
      </c>
    </row>
    <row r="1055" spans="1:12" x14ac:dyDescent="0.25">
      <c r="A1055" t="str">
        <f t="shared" si="16"/>
        <v>2002001424092026M09</v>
      </c>
      <c r="B1055">
        <v>51321001</v>
      </c>
      <c r="C1055">
        <v>14</v>
      </c>
      <c r="D1055">
        <v>200200</v>
      </c>
      <c r="E1055">
        <v>142409</v>
      </c>
      <c r="F1055" t="s">
        <v>115</v>
      </c>
      <c r="G1055" t="s">
        <v>71</v>
      </c>
      <c r="H1055">
        <v>22620</v>
      </c>
      <c r="I1055">
        <v>22620</v>
      </c>
      <c r="J1055">
        <v>0</v>
      </c>
      <c r="K1055">
        <v>0</v>
      </c>
      <c r="L1055">
        <v>0</v>
      </c>
    </row>
    <row r="1056" spans="1:12" x14ac:dyDescent="0.25">
      <c r="A1056" t="str">
        <f t="shared" si="16"/>
        <v>2002001424092026M10</v>
      </c>
      <c r="B1056">
        <v>51321001</v>
      </c>
      <c r="C1056">
        <v>14</v>
      </c>
      <c r="D1056">
        <v>200200</v>
      </c>
      <c r="E1056">
        <v>142409</v>
      </c>
      <c r="F1056" t="s">
        <v>115</v>
      </c>
      <c r="G1056" t="s">
        <v>72</v>
      </c>
      <c r="H1056">
        <v>22620</v>
      </c>
      <c r="I1056">
        <v>0</v>
      </c>
      <c r="J1056">
        <v>22620</v>
      </c>
      <c r="K1056">
        <v>0</v>
      </c>
      <c r="L1056">
        <v>0</v>
      </c>
    </row>
    <row r="1057" spans="1:12" x14ac:dyDescent="0.25">
      <c r="A1057" t="str">
        <f t="shared" si="16"/>
        <v>2002001424092026M11</v>
      </c>
      <c r="B1057">
        <v>51321001</v>
      </c>
      <c r="C1057">
        <v>14</v>
      </c>
      <c r="D1057">
        <v>200200</v>
      </c>
      <c r="E1057">
        <v>142409</v>
      </c>
      <c r="F1057" t="s">
        <v>115</v>
      </c>
      <c r="G1057" t="s">
        <v>73</v>
      </c>
      <c r="H1057">
        <v>22620</v>
      </c>
      <c r="I1057">
        <v>0</v>
      </c>
      <c r="J1057">
        <v>22620</v>
      </c>
      <c r="K1057">
        <v>0</v>
      </c>
      <c r="L1057">
        <v>0</v>
      </c>
    </row>
    <row r="1058" spans="1:12" x14ac:dyDescent="0.25">
      <c r="A1058" t="str">
        <f t="shared" si="16"/>
        <v>2002001424092026M12</v>
      </c>
      <c r="B1058">
        <v>51321001</v>
      </c>
      <c r="C1058">
        <v>14</v>
      </c>
      <c r="D1058">
        <v>200200</v>
      </c>
      <c r="E1058">
        <v>142409</v>
      </c>
      <c r="F1058" t="s">
        <v>115</v>
      </c>
      <c r="G1058" t="s">
        <v>74</v>
      </c>
      <c r="H1058">
        <v>45240</v>
      </c>
      <c r="I1058">
        <v>0</v>
      </c>
      <c r="J1058">
        <v>45240</v>
      </c>
      <c r="K1058">
        <v>0</v>
      </c>
      <c r="L1058">
        <v>0</v>
      </c>
    </row>
    <row r="1059" spans="1:12" x14ac:dyDescent="0.25">
      <c r="A1059" t="str">
        <f t="shared" si="16"/>
        <v>2002001424162026M02</v>
      </c>
      <c r="B1059">
        <v>51321001</v>
      </c>
      <c r="C1059">
        <v>14</v>
      </c>
      <c r="D1059">
        <v>200200</v>
      </c>
      <c r="E1059">
        <v>142416</v>
      </c>
      <c r="F1059" t="s">
        <v>115</v>
      </c>
      <c r="G1059" t="s">
        <v>64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x14ac:dyDescent="0.25">
      <c r="A1060" t="str">
        <f t="shared" si="16"/>
        <v>2002001424162026M03</v>
      </c>
      <c r="B1060">
        <v>51321001</v>
      </c>
      <c r="C1060">
        <v>14</v>
      </c>
      <c r="D1060">
        <v>200200</v>
      </c>
      <c r="E1060">
        <v>142416</v>
      </c>
      <c r="F1060" t="s">
        <v>115</v>
      </c>
      <c r="G1060" t="s">
        <v>65</v>
      </c>
      <c r="H1060">
        <v>16500.740000000002</v>
      </c>
      <c r="I1060">
        <v>16500.740000000002</v>
      </c>
      <c r="J1060">
        <v>0</v>
      </c>
      <c r="K1060">
        <v>0</v>
      </c>
      <c r="L1060">
        <v>0</v>
      </c>
    </row>
    <row r="1061" spans="1:12" x14ac:dyDescent="0.25">
      <c r="A1061" t="str">
        <f t="shared" si="16"/>
        <v>2002001424162026M04</v>
      </c>
      <c r="B1061">
        <v>51321001</v>
      </c>
      <c r="C1061">
        <v>14</v>
      </c>
      <c r="D1061">
        <v>200200</v>
      </c>
      <c r="E1061">
        <v>142416</v>
      </c>
      <c r="F1061" t="s">
        <v>115</v>
      </c>
      <c r="G1061" t="s">
        <v>66</v>
      </c>
      <c r="H1061">
        <v>8250.3700000000008</v>
      </c>
      <c r="I1061">
        <v>8250.3700000000008</v>
      </c>
      <c r="J1061">
        <v>0</v>
      </c>
      <c r="K1061">
        <v>0</v>
      </c>
      <c r="L1061">
        <v>0</v>
      </c>
    </row>
    <row r="1062" spans="1:12" x14ac:dyDescent="0.25">
      <c r="A1062" t="str">
        <f t="shared" si="16"/>
        <v>2002001424162026M05</v>
      </c>
      <c r="B1062">
        <v>51321001</v>
      </c>
      <c r="C1062">
        <v>14</v>
      </c>
      <c r="D1062">
        <v>200200</v>
      </c>
      <c r="E1062">
        <v>142416</v>
      </c>
      <c r="F1062" t="s">
        <v>115</v>
      </c>
      <c r="G1062" t="s">
        <v>67</v>
      </c>
      <c r="H1062">
        <v>0</v>
      </c>
      <c r="I1062">
        <v>0</v>
      </c>
      <c r="J1062">
        <v>0</v>
      </c>
      <c r="K1062">
        <v>0</v>
      </c>
      <c r="L1062">
        <v>0</v>
      </c>
    </row>
    <row r="1063" spans="1:12" x14ac:dyDescent="0.25">
      <c r="A1063" t="str">
        <f t="shared" si="16"/>
        <v>2002001424162026M06</v>
      </c>
      <c r="B1063">
        <v>51321001</v>
      </c>
      <c r="C1063">
        <v>14</v>
      </c>
      <c r="D1063">
        <v>200200</v>
      </c>
      <c r="E1063">
        <v>142416</v>
      </c>
      <c r="F1063" t="s">
        <v>115</v>
      </c>
      <c r="G1063" t="s">
        <v>68</v>
      </c>
      <c r="H1063">
        <v>9007.6200000000008</v>
      </c>
      <c r="I1063">
        <v>9007.6200000000008</v>
      </c>
      <c r="J1063">
        <v>0</v>
      </c>
      <c r="K1063">
        <v>0</v>
      </c>
      <c r="L1063">
        <v>0</v>
      </c>
    </row>
    <row r="1064" spans="1:12" x14ac:dyDescent="0.25">
      <c r="A1064" t="str">
        <f t="shared" si="16"/>
        <v>2002001424162026M07</v>
      </c>
      <c r="B1064">
        <v>51321001</v>
      </c>
      <c r="C1064">
        <v>14</v>
      </c>
      <c r="D1064">
        <v>200200</v>
      </c>
      <c r="E1064">
        <v>142416</v>
      </c>
      <c r="F1064" t="s">
        <v>115</v>
      </c>
      <c r="G1064" t="s">
        <v>69</v>
      </c>
      <c r="H1064">
        <v>8250.36</v>
      </c>
      <c r="I1064">
        <v>8250.36</v>
      </c>
      <c r="J1064">
        <v>0</v>
      </c>
      <c r="K1064">
        <v>0</v>
      </c>
      <c r="L1064">
        <v>0</v>
      </c>
    </row>
    <row r="1065" spans="1:12" x14ac:dyDescent="0.25">
      <c r="A1065" t="str">
        <f t="shared" si="16"/>
        <v>2002001424162026M08</v>
      </c>
      <c r="B1065">
        <v>51321001</v>
      </c>
      <c r="C1065">
        <v>14</v>
      </c>
      <c r="D1065">
        <v>200200</v>
      </c>
      <c r="E1065">
        <v>142416</v>
      </c>
      <c r="F1065" t="s">
        <v>115</v>
      </c>
      <c r="G1065" t="s">
        <v>70</v>
      </c>
      <c r="H1065">
        <v>8250.3700000000008</v>
      </c>
      <c r="I1065">
        <v>8250.3700000000008</v>
      </c>
      <c r="J1065">
        <v>0</v>
      </c>
      <c r="K1065">
        <v>0</v>
      </c>
      <c r="L1065">
        <v>0</v>
      </c>
    </row>
    <row r="1066" spans="1:12" x14ac:dyDescent="0.25">
      <c r="A1066" t="str">
        <f t="shared" si="16"/>
        <v>2002001424162026M09</v>
      </c>
      <c r="B1066">
        <v>51321001</v>
      </c>
      <c r="C1066">
        <v>14</v>
      </c>
      <c r="D1066">
        <v>200200</v>
      </c>
      <c r="E1066">
        <v>142416</v>
      </c>
      <c r="F1066" t="s">
        <v>115</v>
      </c>
      <c r="G1066" t="s">
        <v>71</v>
      </c>
      <c r="H1066">
        <v>8250.3700000000008</v>
      </c>
      <c r="I1066">
        <v>8250.3700000000008</v>
      </c>
      <c r="J1066">
        <v>0</v>
      </c>
      <c r="K1066">
        <v>0</v>
      </c>
      <c r="L1066">
        <v>0</v>
      </c>
    </row>
    <row r="1067" spans="1:12" x14ac:dyDescent="0.25">
      <c r="A1067" t="str">
        <f t="shared" si="16"/>
        <v>2002001424162026M10</v>
      </c>
      <c r="B1067">
        <v>51321001</v>
      </c>
      <c r="C1067">
        <v>14</v>
      </c>
      <c r="D1067">
        <v>200200</v>
      </c>
      <c r="E1067">
        <v>142416</v>
      </c>
      <c r="F1067" t="s">
        <v>115</v>
      </c>
      <c r="G1067" t="s">
        <v>72</v>
      </c>
      <c r="H1067">
        <v>15767.17</v>
      </c>
      <c r="I1067">
        <v>8250.3700000000008</v>
      </c>
      <c r="J1067">
        <v>7516.8</v>
      </c>
      <c r="K1067">
        <v>0</v>
      </c>
      <c r="L1067">
        <v>0</v>
      </c>
    </row>
    <row r="1068" spans="1:12" x14ac:dyDescent="0.25">
      <c r="A1068" t="str">
        <f t="shared" si="16"/>
        <v>2002001424162026M11</v>
      </c>
      <c r="B1068">
        <v>51321001</v>
      </c>
      <c r="C1068">
        <v>14</v>
      </c>
      <c r="D1068">
        <v>200200</v>
      </c>
      <c r="E1068">
        <v>142416</v>
      </c>
      <c r="F1068" t="s">
        <v>115</v>
      </c>
      <c r="G1068" t="s">
        <v>73</v>
      </c>
      <c r="H1068">
        <v>8253</v>
      </c>
      <c r="I1068">
        <v>0</v>
      </c>
      <c r="J1068">
        <v>8253</v>
      </c>
      <c r="K1068">
        <v>0</v>
      </c>
      <c r="L1068">
        <v>0</v>
      </c>
    </row>
    <row r="1069" spans="1:12" x14ac:dyDescent="0.25">
      <c r="A1069" t="str">
        <f t="shared" si="16"/>
        <v>2002001424162026M12</v>
      </c>
      <c r="B1069">
        <v>51321001</v>
      </c>
      <c r="C1069">
        <v>14</v>
      </c>
      <c r="D1069">
        <v>200200</v>
      </c>
      <c r="E1069">
        <v>142416</v>
      </c>
      <c r="F1069" t="s">
        <v>115</v>
      </c>
      <c r="G1069" t="s">
        <v>74</v>
      </c>
      <c r="H1069">
        <v>16503.84</v>
      </c>
      <c r="I1069">
        <v>0</v>
      </c>
      <c r="J1069">
        <v>16503.84</v>
      </c>
      <c r="K1069">
        <v>0</v>
      </c>
      <c r="L1069">
        <v>0</v>
      </c>
    </row>
    <row r="1070" spans="1:12" x14ac:dyDescent="0.25">
      <c r="A1070" t="str">
        <f t="shared" si="16"/>
        <v>2002001424182026M02</v>
      </c>
      <c r="B1070">
        <v>51321001</v>
      </c>
      <c r="C1070">
        <v>14</v>
      </c>
      <c r="D1070">
        <v>200200</v>
      </c>
      <c r="E1070">
        <v>142418</v>
      </c>
      <c r="F1070" t="s">
        <v>115</v>
      </c>
      <c r="G1070" t="s">
        <v>64</v>
      </c>
      <c r="H1070">
        <v>3480</v>
      </c>
      <c r="I1070">
        <v>3480</v>
      </c>
      <c r="J1070">
        <v>0</v>
      </c>
      <c r="K1070">
        <v>0</v>
      </c>
      <c r="L1070">
        <v>0</v>
      </c>
    </row>
    <row r="1071" spans="1:12" x14ac:dyDescent="0.25">
      <c r="A1071" t="str">
        <f t="shared" si="16"/>
        <v>2002001424182026M03</v>
      </c>
      <c r="B1071">
        <v>51321001</v>
      </c>
      <c r="C1071">
        <v>14</v>
      </c>
      <c r="D1071">
        <v>200200</v>
      </c>
      <c r="E1071">
        <v>142418</v>
      </c>
      <c r="F1071" t="s">
        <v>115</v>
      </c>
      <c r="G1071" t="s">
        <v>65</v>
      </c>
      <c r="H1071">
        <v>3480</v>
      </c>
      <c r="I1071">
        <v>3480</v>
      </c>
      <c r="J1071">
        <v>0</v>
      </c>
      <c r="K1071">
        <v>0</v>
      </c>
      <c r="L1071">
        <v>0</v>
      </c>
    </row>
    <row r="1072" spans="1:12" x14ac:dyDescent="0.25">
      <c r="A1072" t="str">
        <f t="shared" si="16"/>
        <v>2002001424182026M04</v>
      </c>
      <c r="B1072">
        <v>51321001</v>
      </c>
      <c r="C1072">
        <v>14</v>
      </c>
      <c r="D1072">
        <v>200200</v>
      </c>
      <c r="E1072">
        <v>142418</v>
      </c>
      <c r="F1072" t="s">
        <v>115</v>
      </c>
      <c r="G1072" t="s">
        <v>66</v>
      </c>
      <c r="H1072">
        <v>3480</v>
      </c>
      <c r="I1072">
        <v>3480</v>
      </c>
      <c r="J1072">
        <v>0</v>
      </c>
      <c r="K1072">
        <v>0</v>
      </c>
      <c r="L1072">
        <v>0</v>
      </c>
    </row>
    <row r="1073" spans="1:12" x14ac:dyDescent="0.25">
      <c r="A1073" t="str">
        <f t="shared" si="16"/>
        <v>2002001424182026M05</v>
      </c>
      <c r="B1073">
        <v>51321001</v>
      </c>
      <c r="C1073">
        <v>14</v>
      </c>
      <c r="D1073">
        <v>200200</v>
      </c>
      <c r="E1073">
        <v>142418</v>
      </c>
      <c r="F1073" t="s">
        <v>115</v>
      </c>
      <c r="G1073" t="s">
        <v>67</v>
      </c>
      <c r="H1073">
        <v>3480</v>
      </c>
      <c r="I1073">
        <v>3480</v>
      </c>
      <c r="J1073">
        <v>0</v>
      </c>
      <c r="K1073">
        <v>0</v>
      </c>
      <c r="L1073">
        <v>0</v>
      </c>
    </row>
    <row r="1074" spans="1:12" x14ac:dyDescent="0.25">
      <c r="A1074" t="str">
        <f t="shared" si="16"/>
        <v>2002001424182026M06</v>
      </c>
      <c r="B1074">
        <v>51321001</v>
      </c>
      <c r="C1074">
        <v>14</v>
      </c>
      <c r="D1074">
        <v>200200</v>
      </c>
      <c r="E1074">
        <v>142418</v>
      </c>
      <c r="F1074" t="s">
        <v>115</v>
      </c>
      <c r="G1074" t="s">
        <v>68</v>
      </c>
      <c r="H1074">
        <v>3480</v>
      </c>
      <c r="I1074">
        <v>3480</v>
      </c>
      <c r="J1074">
        <v>0</v>
      </c>
      <c r="K1074">
        <v>0</v>
      </c>
      <c r="L1074">
        <v>0</v>
      </c>
    </row>
    <row r="1075" spans="1:12" x14ac:dyDescent="0.25">
      <c r="A1075" t="str">
        <f t="shared" si="16"/>
        <v>2002001424182026M07</v>
      </c>
      <c r="B1075">
        <v>51321001</v>
      </c>
      <c r="C1075">
        <v>14</v>
      </c>
      <c r="D1075">
        <v>200200</v>
      </c>
      <c r="E1075">
        <v>142418</v>
      </c>
      <c r="F1075" t="s">
        <v>115</v>
      </c>
      <c r="G1075" t="s">
        <v>69</v>
      </c>
      <c r="H1075">
        <v>3480</v>
      </c>
      <c r="I1075">
        <v>3480</v>
      </c>
      <c r="J1075">
        <v>0</v>
      </c>
      <c r="K1075">
        <v>0</v>
      </c>
      <c r="L1075">
        <v>0</v>
      </c>
    </row>
    <row r="1076" spans="1:12" x14ac:dyDescent="0.25">
      <c r="A1076" t="str">
        <f t="shared" si="16"/>
        <v>2002001424182026M08</v>
      </c>
      <c r="B1076">
        <v>51321001</v>
      </c>
      <c r="C1076">
        <v>14</v>
      </c>
      <c r="D1076">
        <v>200200</v>
      </c>
      <c r="E1076">
        <v>142418</v>
      </c>
      <c r="F1076" t="s">
        <v>115</v>
      </c>
      <c r="G1076" t="s">
        <v>70</v>
      </c>
      <c r="H1076">
        <v>3480</v>
      </c>
      <c r="I1076">
        <v>3480</v>
      </c>
      <c r="J1076">
        <v>0</v>
      </c>
      <c r="K1076">
        <v>0</v>
      </c>
      <c r="L1076">
        <v>0</v>
      </c>
    </row>
    <row r="1077" spans="1:12" x14ac:dyDescent="0.25">
      <c r="A1077" t="str">
        <f t="shared" si="16"/>
        <v>2002001424182026M09</v>
      </c>
      <c r="B1077">
        <v>51321001</v>
      </c>
      <c r="C1077">
        <v>14</v>
      </c>
      <c r="D1077">
        <v>200200</v>
      </c>
      <c r="E1077">
        <v>142418</v>
      </c>
      <c r="F1077" t="s">
        <v>115</v>
      </c>
      <c r="G1077" t="s">
        <v>71</v>
      </c>
      <c r="H1077">
        <v>0</v>
      </c>
      <c r="I1077">
        <v>0</v>
      </c>
      <c r="J1077">
        <v>0</v>
      </c>
      <c r="K1077">
        <v>0</v>
      </c>
      <c r="L1077">
        <v>0</v>
      </c>
    </row>
    <row r="1078" spans="1:12" x14ac:dyDescent="0.25">
      <c r="A1078" t="str">
        <f t="shared" si="16"/>
        <v>2002001424182026M10</v>
      </c>
      <c r="B1078">
        <v>51321001</v>
      </c>
      <c r="C1078">
        <v>14</v>
      </c>
      <c r="D1078">
        <v>200200</v>
      </c>
      <c r="E1078">
        <v>142418</v>
      </c>
      <c r="F1078" t="s">
        <v>115</v>
      </c>
      <c r="G1078" t="s">
        <v>72</v>
      </c>
      <c r="H1078">
        <v>6960</v>
      </c>
      <c r="I1078">
        <v>0</v>
      </c>
      <c r="J1078">
        <v>0</v>
      </c>
      <c r="K1078">
        <v>0</v>
      </c>
      <c r="L1078">
        <v>6960</v>
      </c>
    </row>
    <row r="1079" spans="1:12" x14ac:dyDescent="0.25">
      <c r="A1079" t="str">
        <f t="shared" si="16"/>
        <v>2002001424182026M11</v>
      </c>
      <c r="B1079">
        <v>51321001</v>
      </c>
      <c r="C1079">
        <v>14</v>
      </c>
      <c r="D1079">
        <v>200200</v>
      </c>
      <c r="E1079">
        <v>142418</v>
      </c>
      <c r="F1079" t="s">
        <v>115</v>
      </c>
      <c r="G1079" t="s">
        <v>73</v>
      </c>
      <c r="H1079">
        <v>3480</v>
      </c>
      <c r="I1079">
        <v>0</v>
      </c>
      <c r="J1079">
        <v>0</v>
      </c>
      <c r="K1079">
        <v>0</v>
      </c>
      <c r="L1079">
        <v>3480</v>
      </c>
    </row>
    <row r="1080" spans="1:12" x14ac:dyDescent="0.25">
      <c r="A1080" t="str">
        <f t="shared" si="16"/>
        <v>2002001424182026M12</v>
      </c>
      <c r="B1080">
        <v>51321001</v>
      </c>
      <c r="C1080">
        <v>14</v>
      </c>
      <c r="D1080">
        <v>200200</v>
      </c>
      <c r="E1080">
        <v>142418</v>
      </c>
      <c r="F1080" t="s">
        <v>115</v>
      </c>
      <c r="G1080" t="s">
        <v>74</v>
      </c>
      <c r="H1080">
        <v>6960</v>
      </c>
      <c r="I1080">
        <v>0</v>
      </c>
      <c r="J1080">
        <v>0</v>
      </c>
      <c r="K1080">
        <v>0</v>
      </c>
      <c r="L1080">
        <v>6960</v>
      </c>
    </row>
    <row r="1081" spans="1:12" x14ac:dyDescent="0.25">
      <c r="A1081" t="str">
        <f t="shared" si="16"/>
        <v>2002001424192026M02</v>
      </c>
      <c r="B1081">
        <v>51321001</v>
      </c>
      <c r="C1081">
        <v>14</v>
      </c>
      <c r="D1081">
        <v>200200</v>
      </c>
      <c r="E1081">
        <v>142419</v>
      </c>
      <c r="F1081" t="s">
        <v>115</v>
      </c>
      <c r="G1081" t="s">
        <v>64</v>
      </c>
      <c r="H1081">
        <v>17399.990000000002</v>
      </c>
      <c r="I1081">
        <v>17399.990000000002</v>
      </c>
      <c r="J1081">
        <v>0</v>
      </c>
      <c r="K1081">
        <v>0</v>
      </c>
      <c r="L1081">
        <v>0</v>
      </c>
    </row>
    <row r="1082" spans="1:12" x14ac:dyDescent="0.25">
      <c r="A1082" t="str">
        <f t="shared" si="16"/>
        <v>2002001424192026M03</v>
      </c>
      <c r="B1082">
        <v>51321001</v>
      </c>
      <c r="C1082">
        <v>14</v>
      </c>
      <c r="D1082">
        <v>200200</v>
      </c>
      <c r="E1082">
        <v>142419</v>
      </c>
      <c r="F1082" t="s">
        <v>115</v>
      </c>
      <c r="G1082" t="s">
        <v>65</v>
      </c>
      <c r="H1082">
        <v>0</v>
      </c>
      <c r="I1082">
        <v>0</v>
      </c>
      <c r="J1082">
        <v>0</v>
      </c>
      <c r="K1082">
        <v>0</v>
      </c>
      <c r="L1082">
        <v>0</v>
      </c>
    </row>
    <row r="1083" spans="1:12" x14ac:dyDescent="0.25">
      <c r="A1083" t="str">
        <f t="shared" si="16"/>
        <v>2002001424192026M04</v>
      </c>
      <c r="B1083">
        <v>51321001</v>
      </c>
      <c r="C1083">
        <v>14</v>
      </c>
      <c r="D1083">
        <v>200200</v>
      </c>
      <c r="E1083">
        <v>142419</v>
      </c>
      <c r="F1083" t="s">
        <v>115</v>
      </c>
      <c r="G1083" t="s">
        <v>66</v>
      </c>
      <c r="H1083">
        <v>34799.99</v>
      </c>
      <c r="I1083">
        <v>34799.99</v>
      </c>
      <c r="J1083">
        <v>0</v>
      </c>
      <c r="K1083">
        <v>0</v>
      </c>
      <c r="L1083">
        <v>0</v>
      </c>
    </row>
    <row r="1084" spans="1:12" x14ac:dyDescent="0.25">
      <c r="A1084" t="str">
        <f t="shared" si="16"/>
        <v>2002001424192026M05</v>
      </c>
      <c r="B1084">
        <v>51321001</v>
      </c>
      <c r="C1084">
        <v>14</v>
      </c>
      <c r="D1084">
        <v>200200</v>
      </c>
      <c r="E1084">
        <v>142419</v>
      </c>
      <c r="F1084" t="s">
        <v>115</v>
      </c>
      <c r="G1084" t="s">
        <v>67</v>
      </c>
      <c r="H1084">
        <v>0</v>
      </c>
      <c r="I1084">
        <v>0</v>
      </c>
      <c r="J1084">
        <v>0</v>
      </c>
      <c r="K1084">
        <v>0</v>
      </c>
      <c r="L1084">
        <v>0</v>
      </c>
    </row>
    <row r="1085" spans="1:12" x14ac:dyDescent="0.25">
      <c r="A1085" t="str">
        <f t="shared" si="16"/>
        <v>2002001424192026M06</v>
      </c>
      <c r="B1085">
        <v>51321001</v>
      </c>
      <c r="C1085">
        <v>14</v>
      </c>
      <c r="D1085">
        <v>200200</v>
      </c>
      <c r="E1085">
        <v>142419</v>
      </c>
      <c r="F1085" t="s">
        <v>115</v>
      </c>
      <c r="G1085" t="s">
        <v>68</v>
      </c>
      <c r="H1085">
        <v>34799.99</v>
      </c>
      <c r="I1085">
        <v>34799.99</v>
      </c>
      <c r="J1085">
        <v>0</v>
      </c>
      <c r="K1085">
        <v>0</v>
      </c>
      <c r="L1085">
        <v>0</v>
      </c>
    </row>
    <row r="1086" spans="1:12" x14ac:dyDescent="0.25">
      <c r="A1086" t="str">
        <f t="shared" si="16"/>
        <v>2002001424192026M07</v>
      </c>
      <c r="B1086">
        <v>51321001</v>
      </c>
      <c r="C1086">
        <v>14</v>
      </c>
      <c r="D1086">
        <v>200200</v>
      </c>
      <c r="E1086">
        <v>142419</v>
      </c>
      <c r="F1086" t="s">
        <v>115</v>
      </c>
      <c r="G1086" t="s">
        <v>69</v>
      </c>
      <c r="H1086">
        <v>17400</v>
      </c>
      <c r="I1086">
        <v>17400</v>
      </c>
      <c r="J1086">
        <v>0</v>
      </c>
      <c r="K1086">
        <v>0</v>
      </c>
      <c r="L1086">
        <v>0</v>
      </c>
    </row>
    <row r="1087" spans="1:12" x14ac:dyDescent="0.25">
      <c r="A1087" t="str">
        <f t="shared" si="16"/>
        <v>2002001424192026M08</v>
      </c>
      <c r="B1087">
        <v>51321001</v>
      </c>
      <c r="C1087">
        <v>14</v>
      </c>
      <c r="D1087">
        <v>200200</v>
      </c>
      <c r="E1087">
        <v>142419</v>
      </c>
      <c r="F1087" t="s">
        <v>115</v>
      </c>
      <c r="G1087" t="s">
        <v>70</v>
      </c>
      <c r="H1087">
        <v>17400</v>
      </c>
      <c r="I1087">
        <v>17400</v>
      </c>
      <c r="J1087">
        <v>0</v>
      </c>
      <c r="K1087">
        <v>0</v>
      </c>
      <c r="L1087">
        <v>0</v>
      </c>
    </row>
    <row r="1088" spans="1:12" x14ac:dyDescent="0.25">
      <c r="A1088" t="str">
        <f t="shared" si="16"/>
        <v>2002001424192026M09</v>
      </c>
      <c r="B1088">
        <v>51321001</v>
      </c>
      <c r="C1088">
        <v>14</v>
      </c>
      <c r="D1088">
        <v>200200</v>
      </c>
      <c r="E1088">
        <v>142419</v>
      </c>
      <c r="F1088" t="s">
        <v>115</v>
      </c>
      <c r="G1088" t="s">
        <v>71</v>
      </c>
      <c r="H1088">
        <v>17399.990000000002</v>
      </c>
      <c r="I1088">
        <v>17399.990000000002</v>
      </c>
      <c r="J1088">
        <v>0</v>
      </c>
      <c r="K1088">
        <v>0</v>
      </c>
      <c r="L1088">
        <v>0</v>
      </c>
    </row>
    <row r="1089" spans="1:12" x14ac:dyDescent="0.25">
      <c r="A1089" t="str">
        <f t="shared" si="16"/>
        <v>2002001424192026M10</v>
      </c>
      <c r="B1089">
        <v>51321001</v>
      </c>
      <c r="C1089">
        <v>14</v>
      </c>
      <c r="D1089">
        <v>200200</v>
      </c>
      <c r="E1089">
        <v>142419</v>
      </c>
      <c r="F1089" t="s">
        <v>115</v>
      </c>
      <c r="G1089" t="s">
        <v>72</v>
      </c>
      <c r="H1089">
        <v>17400.04</v>
      </c>
      <c r="I1089">
        <v>0</v>
      </c>
      <c r="J1089">
        <v>17400.04</v>
      </c>
      <c r="K1089">
        <v>0</v>
      </c>
      <c r="L1089">
        <v>0</v>
      </c>
    </row>
    <row r="1090" spans="1:12" x14ac:dyDescent="0.25">
      <c r="A1090" t="str">
        <f t="shared" si="16"/>
        <v>2002001424192026M11</v>
      </c>
      <c r="B1090">
        <v>51321001</v>
      </c>
      <c r="C1090">
        <v>14</v>
      </c>
      <c r="D1090">
        <v>200200</v>
      </c>
      <c r="E1090">
        <v>142419</v>
      </c>
      <c r="F1090" t="s">
        <v>115</v>
      </c>
      <c r="G1090" t="s">
        <v>73</v>
      </c>
      <c r="H1090">
        <v>17400</v>
      </c>
      <c r="I1090">
        <v>0</v>
      </c>
      <c r="J1090">
        <v>17400</v>
      </c>
      <c r="K1090">
        <v>0</v>
      </c>
      <c r="L1090">
        <v>0</v>
      </c>
    </row>
    <row r="1091" spans="1:12" x14ac:dyDescent="0.25">
      <c r="A1091" t="str">
        <f t="shared" si="16"/>
        <v>2002001424192026M12</v>
      </c>
      <c r="B1091">
        <v>51321001</v>
      </c>
      <c r="C1091">
        <v>14</v>
      </c>
      <c r="D1091">
        <v>200200</v>
      </c>
      <c r="E1091">
        <v>142419</v>
      </c>
      <c r="F1091" t="s">
        <v>115</v>
      </c>
      <c r="G1091" t="s">
        <v>74</v>
      </c>
      <c r="H1091">
        <v>34800</v>
      </c>
      <c r="I1091">
        <v>0</v>
      </c>
      <c r="J1091">
        <v>34800</v>
      </c>
      <c r="K1091">
        <v>0</v>
      </c>
      <c r="L1091">
        <v>0</v>
      </c>
    </row>
    <row r="1092" spans="1:12" x14ac:dyDescent="0.25">
      <c r="A1092" t="str">
        <f t="shared" si="16"/>
        <v>2002001424202026M02</v>
      </c>
      <c r="B1092">
        <v>51321001</v>
      </c>
      <c r="C1092">
        <v>14</v>
      </c>
      <c r="D1092">
        <v>200200</v>
      </c>
      <c r="E1092">
        <v>142420</v>
      </c>
      <c r="F1092" t="s">
        <v>115</v>
      </c>
      <c r="G1092" t="s">
        <v>64</v>
      </c>
      <c r="H1092">
        <v>63799.91</v>
      </c>
      <c r="I1092">
        <v>63799.91</v>
      </c>
      <c r="J1092">
        <v>0</v>
      </c>
      <c r="K1092">
        <v>0</v>
      </c>
      <c r="L1092">
        <v>0</v>
      </c>
    </row>
    <row r="1093" spans="1:12" x14ac:dyDescent="0.25">
      <c r="A1093" t="str">
        <f t="shared" si="16"/>
        <v>2002001424202026M03</v>
      </c>
      <c r="B1093">
        <v>51321001</v>
      </c>
      <c r="C1093">
        <v>14</v>
      </c>
      <c r="D1093">
        <v>200200</v>
      </c>
      <c r="E1093">
        <v>142420</v>
      </c>
      <c r="F1093" t="s">
        <v>115</v>
      </c>
      <c r="G1093" t="s">
        <v>65</v>
      </c>
      <c r="H1093">
        <v>63799.91</v>
      </c>
      <c r="I1093">
        <v>63799.91</v>
      </c>
      <c r="J1093">
        <v>0</v>
      </c>
      <c r="K1093">
        <v>0</v>
      </c>
      <c r="L1093">
        <v>0</v>
      </c>
    </row>
    <row r="1094" spans="1:12" x14ac:dyDescent="0.25">
      <c r="A1094" t="str">
        <f t="shared" si="16"/>
        <v>2002001424202026M04</v>
      </c>
      <c r="B1094">
        <v>51321001</v>
      </c>
      <c r="C1094">
        <v>14</v>
      </c>
      <c r="D1094">
        <v>200200</v>
      </c>
      <c r="E1094">
        <v>142420</v>
      </c>
      <c r="F1094" t="s">
        <v>115</v>
      </c>
      <c r="G1094" t="s">
        <v>66</v>
      </c>
      <c r="H1094">
        <v>63799.91</v>
      </c>
      <c r="I1094">
        <v>63799.91</v>
      </c>
      <c r="J1094">
        <v>0</v>
      </c>
      <c r="K1094">
        <v>0</v>
      </c>
      <c r="L1094">
        <v>0</v>
      </c>
    </row>
    <row r="1095" spans="1:12" x14ac:dyDescent="0.25">
      <c r="A1095" t="str">
        <f t="shared" si="16"/>
        <v>2002001424202026M05</v>
      </c>
      <c r="B1095">
        <v>51321001</v>
      </c>
      <c r="C1095">
        <v>14</v>
      </c>
      <c r="D1095">
        <v>200200</v>
      </c>
      <c r="E1095">
        <v>142420</v>
      </c>
      <c r="F1095" t="s">
        <v>115</v>
      </c>
      <c r="G1095" t="s">
        <v>67</v>
      </c>
      <c r="H1095">
        <v>63799.91</v>
      </c>
      <c r="I1095">
        <v>63799.91</v>
      </c>
      <c r="J1095">
        <v>0</v>
      </c>
      <c r="K1095">
        <v>0</v>
      </c>
      <c r="L1095">
        <v>0</v>
      </c>
    </row>
    <row r="1096" spans="1:12" x14ac:dyDescent="0.25">
      <c r="A1096" t="str">
        <f t="shared" si="16"/>
        <v>2002001424202026M06</v>
      </c>
      <c r="B1096">
        <v>51321001</v>
      </c>
      <c r="C1096">
        <v>14</v>
      </c>
      <c r="D1096">
        <v>200200</v>
      </c>
      <c r="E1096">
        <v>142420</v>
      </c>
      <c r="F1096" t="s">
        <v>115</v>
      </c>
      <c r="G1096" t="s">
        <v>68</v>
      </c>
      <c r="H1096">
        <v>63799.91</v>
      </c>
      <c r="I1096">
        <v>63799.91</v>
      </c>
      <c r="J1096">
        <v>0</v>
      </c>
      <c r="K1096">
        <v>0</v>
      </c>
      <c r="L1096">
        <v>0</v>
      </c>
    </row>
    <row r="1097" spans="1:12" x14ac:dyDescent="0.25">
      <c r="A1097" t="str">
        <f t="shared" si="16"/>
        <v>2002001424202026M07</v>
      </c>
      <c r="B1097">
        <v>51321001</v>
      </c>
      <c r="C1097">
        <v>14</v>
      </c>
      <c r="D1097">
        <v>200200</v>
      </c>
      <c r="E1097">
        <v>142420</v>
      </c>
      <c r="F1097" t="s">
        <v>115</v>
      </c>
      <c r="G1097" t="s">
        <v>69</v>
      </c>
      <c r="H1097">
        <v>75399.990000000005</v>
      </c>
      <c r="I1097">
        <v>75399.990000000005</v>
      </c>
      <c r="J1097">
        <v>0</v>
      </c>
      <c r="K1097">
        <v>0</v>
      </c>
      <c r="L1097">
        <v>0</v>
      </c>
    </row>
    <row r="1098" spans="1:12" x14ac:dyDescent="0.25">
      <c r="A1098" t="str">
        <f t="shared" si="16"/>
        <v>2002001424202026M08</v>
      </c>
      <c r="B1098">
        <v>51321001</v>
      </c>
      <c r="C1098">
        <v>14</v>
      </c>
      <c r="D1098">
        <v>200200</v>
      </c>
      <c r="E1098">
        <v>142420</v>
      </c>
      <c r="F1098" t="s">
        <v>115</v>
      </c>
      <c r="G1098" t="s">
        <v>70</v>
      </c>
      <c r="H1098">
        <v>75399.990000000005</v>
      </c>
      <c r="I1098">
        <v>75399.990000000005</v>
      </c>
      <c r="J1098">
        <v>0</v>
      </c>
      <c r="K1098">
        <v>0</v>
      </c>
      <c r="L1098">
        <v>0</v>
      </c>
    </row>
    <row r="1099" spans="1:12" x14ac:dyDescent="0.25">
      <c r="A1099" t="str">
        <f t="shared" ref="A1099:A1162" si="17">D1099&amp;E1099&amp;G1099</f>
        <v>2002001424202026M09</v>
      </c>
      <c r="B1099">
        <v>51321001</v>
      </c>
      <c r="C1099">
        <v>14</v>
      </c>
      <c r="D1099">
        <v>200200</v>
      </c>
      <c r="E1099">
        <v>142420</v>
      </c>
      <c r="F1099" t="s">
        <v>115</v>
      </c>
      <c r="G1099" t="s">
        <v>71</v>
      </c>
      <c r="H1099">
        <v>75399.990000000005</v>
      </c>
      <c r="I1099">
        <v>75399.990000000005</v>
      </c>
      <c r="J1099">
        <v>0</v>
      </c>
      <c r="K1099">
        <v>0</v>
      </c>
      <c r="L1099">
        <v>0</v>
      </c>
    </row>
    <row r="1100" spans="1:12" x14ac:dyDescent="0.25">
      <c r="A1100" t="str">
        <f t="shared" si="17"/>
        <v>2002001424202026M10</v>
      </c>
      <c r="B1100">
        <v>51321001</v>
      </c>
      <c r="C1100">
        <v>14</v>
      </c>
      <c r="D1100">
        <v>200200</v>
      </c>
      <c r="E1100">
        <v>142420</v>
      </c>
      <c r="F1100" t="s">
        <v>115</v>
      </c>
      <c r="G1100" t="s">
        <v>72</v>
      </c>
      <c r="H1100">
        <v>87000.48</v>
      </c>
      <c r="I1100">
        <v>0</v>
      </c>
      <c r="J1100">
        <v>75400.479999999996</v>
      </c>
      <c r="K1100">
        <v>0</v>
      </c>
      <c r="L1100">
        <v>11600</v>
      </c>
    </row>
    <row r="1101" spans="1:12" x14ac:dyDescent="0.25">
      <c r="A1101" t="str">
        <f t="shared" si="17"/>
        <v>2002001424202026M11</v>
      </c>
      <c r="B1101">
        <v>51321001</v>
      </c>
      <c r="C1101">
        <v>14</v>
      </c>
      <c r="D1101">
        <v>200200</v>
      </c>
      <c r="E1101">
        <v>142420</v>
      </c>
      <c r="F1101" t="s">
        <v>115</v>
      </c>
      <c r="G1101" t="s">
        <v>73</v>
      </c>
      <c r="H1101">
        <v>75400</v>
      </c>
      <c r="I1101">
        <v>0</v>
      </c>
      <c r="J1101">
        <v>75400</v>
      </c>
      <c r="K1101">
        <v>0</v>
      </c>
      <c r="L1101">
        <v>0</v>
      </c>
    </row>
    <row r="1102" spans="1:12" x14ac:dyDescent="0.25">
      <c r="A1102" t="str">
        <f t="shared" si="17"/>
        <v>2002001424202026M12</v>
      </c>
      <c r="B1102">
        <v>51321001</v>
      </c>
      <c r="C1102">
        <v>14</v>
      </c>
      <c r="D1102">
        <v>200200</v>
      </c>
      <c r="E1102">
        <v>142420</v>
      </c>
      <c r="F1102" t="s">
        <v>115</v>
      </c>
      <c r="G1102" t="s">
        <v>74</v>
      </c>
      <c r="H1102">
        <v>150800</v>
      </c>
      <c r="I1102">
        <v>0</v>
      </c>
      <c r="J1102">
        <v>150800</v>
      </c>
      <c r="K1102">
        <v>0</v>
      </c>
      <c r="L1102">
        <v>0</v>
      </c>
    </row>
    <row r="1103" spans="1:12" x14ac:dyDescent="0.25">
      <c r="A1103" t="str">
        <f t="shared" si="17"/>
        <v>2002001424212026M02</v>
      </c>
      <c r="B1103">
        <v>51321001</v>
      </c>
      <c r="C1103">
        <v>14</v>
      </c>
      <c r="D1103">
        <v>200200</v>
      </c>
      <c r="E1103">
        <v>142421</v>
      </c>
      <c r="F1103" t="s">
        <v>115</v>
      </c>
      <c r="G1103" t="s">
        <v>64</v>
      </c>
      <c r="H1103">
        <v>2900</v>
      </c>
      <c r="I1103">
        <v>2900</v>
      </c>
      <c r="J1103">
        <v>0</v>
      </c>
      <c r="K1103">
        <v>0</v>
      </c>
      <c r="L1103">
        <v>0</v>
      </c>
    </row>
    <row r="1104" spans="1:12" x14ac:dyDescent="0.25">
      <c r="A1104" t="str">
        <f t="shared" si="17"/>
        <v>2002001424212026M03</v>
      </c>
      <c r="B1104">
        <v>51321001</v>
      </c>
      <c r="C1104">
        <v>14</v>
      </c>
      <c r="D1104">
        <v>200200</v>
      </c>
      <c r="E1104">
        <v>142421</v>
      </c>
      <c r="F1104" t="s">
        <v>115</v>
      </c>
      <c r="G1104" t="s">
        <v>65</v>
      </c>
      <c r="H1104">
        <v>2900</v>
      </c>
      <c r="I1104">
        <v>2900</v>
      </c>
      <c r="J1104">
        <v>0</v>
      </c>
      <c r="K1104">
        <v>0</v>
      </c>
      <c r="L1104">
        <v>0</v>
      </c>
    </row>
    <row r="1105" spans="1:12" x14ac:dyDescent="0.25">
      <c r="A1105" t="str">
        <f t="shared" si="17"/>
        <v>2002001424212026M04</v>
      </c>
      <c r="B1105">
        <v>51321001</v>
      </c>
      <c r="C1105">
        <v>14</v>
      </c>
      <c r="D1105">
        <v>200200</v>
      </c>
      <c r="E1105">
        <v>142421</v>
      </c>
      <c r="F1105" t="s">
        <v>115</v>
      </c>
      <c r="G1105" t="s">
        <v>66</v>
      </c>
      <c r="H1105">
        <v>0</v>
      </c>
      <c r="I1105">
        <v>0</v>
      </c>
      <c r="J1105">
        <v>0</v>
      </c>
      <c r="K1105">
        <v>0</v>
      </c>
      <c r="L1105">
        <v>0</v>
      </c>
    </row>
    <row r="1106" spans="1:12" x14ac:dyDescent="0.25">
      <c r="A1106" t="str">
        <f t="shared" si="17"/>
        <v>2002001424212026M05</v>
      </c>
      <c r="B1106">
        <v>51321001</v>
      </c>
      <c r="C1106">
        <v>14</v>
      </c>
      <c r="D1106">
        <v>200200</v>
      </c>
      <c r="E1106">
        <v>142421</v>
      </c>
      <c r="F1106" t="s">
        <v>115</v>
      </c>
      <c r="G1106" t="s">
        <v>67</v>
      </c>
      <c r="H1106">
        <v>5800</v>
      </c>
      <c r="I1106">
        <v>5800</v>
      </c>
      <c r="J1106">
        <v>0</v>
      </c>
      <c r="K1106">
        <v>0</v>
      </c>
      <c r="L1106">
        <v>0</v>
      </c>
    </row>
    <row r="1107" spans="1:12" x14ac:dyDescent="0.25">
      <c r="A1107" t="str">
        <f t="shared" si="17"/>
        <v>2002001424212026M06</v>
      </c>
      <c r="B1107">
        <v>51321001</v>
      </c>
      <c r="C1107">
        <v>14</v>
      </c>
      <c r="D1107">
        <v>200200</v>
      </c>
      <c r="E1107">
        <v>142421</v>
      </c>
      <c r="F1107" t="s">
        <v>115</v>
      </c>
      <c r="G1107" t="s">
        <v>68</v>
      </c>
      <c r="H1107">
        <v>2900</v>
      </c>
      <c r="I1107">
        <v>2900</v>
      </c>
      <c r="J1107">
        <v>0</v>
      </c>
      <c r="K1107">
        <v>0</v>
      </c>
      <c r="L1107">
        <v>0</v>
      </c>
    </row>
    <row r="1108" spans="1:12" x14ac:dyDescent="0.25">
      <c r="A1108" t="str">
        <f t="shared" si="17"/>
        <v>2002001424212026M07</v>
      </c>
      <c r="B1108">
        <v>51321001</v>
      </c>
      <c r="C1108">
        <v>14</v>
      </c>
      <c r="D1108">
        <v>200200</v>
      </c>
      <c r="E1108">
        <v>142421</v>
      </c>
      <c r="F1108" t="s">
        <v>115</v>
      </c>
      <c r="G1108" t="s">
        <v>69</v>
      </c>
      <c r="H1108">
        <v>2900</v>
      </c>
      <c r="I1108">
        <v>2900</v>
      </c>
      <c r="J1108">
        <v>0</v>
      </c>
      <c r="K1108">
        <v>0</v>
      </c>
      <c r="L1108">
        <v>0</v>
      </c>
    </row>
    <row r="1109" spans="1:12" x14ac:dyDescent="0.25">
      <c r="A1109" t="str">
        <f t="shared" si="17"/>
        <v>2002001424212026M08</v>
      </c>
      <c r="B1109">
        <v>51321001</v>
      </c>
      <c r="C1109">
        <v>14</v>
      </c>
      <c r="D1109">
        <v>200200</v>
      </c>
      <c r="E1109">
        <v>142421</v>
      </c>
      <c r="F1109" t="s">
        <v>115</v>
      </c>
      <c r="G1109" t="s">
        <v>70</v>
      </c>
      <c r="H1109">
        <v>2900</v>
      </c>
      <c r="I1109">
        <v>2900</v>
      </c>
      <c r="J1109">
        <v>0</v>
      </c>
      <c r="K1109">
        <v>0</v>
      </c>
      <c r="L1109">
        <v>0</v>
      </c>
    </row>
    <row r="1110" spans="1:12" x14ac:dyDescent="0.25">
      <c r="A1110" t="str">
        <f t="shared" si="17"/>
        <v>2002001424212026M09</v>
      </c>
      <c r="B1110">
        <v>51321001</v>
      </c>
      <c r="C1110">
        <v>14</v>
      </c>
      <c r="D1110">
        <v>200200</v>
      </c>
      <c r="E1110">
        <v>142421</v>
      </c>
      <c r="F1110" t="s">
        <v>115</v>
      </c>
      <c r="G1110" t="s">
        <v>71</v>
      </c>
      <c r="H1110">
        <v>2900</v>
      </c>
      <c r="I1110">
        <v>2900</v>
      </c>
      <c r="J1110">
        <v>0</v>
      </c>
      <c r="K1110">
        <v>0</v>
      </c>
      <c r="L1110">
        <v>0</v>
      </c>
    </row>
    <row r="1111" spans="1:12" x14ac:dyDescent="0.25">
      <c r="A1111" t="str">
        <f t="shared" si="17"/>
        <v>2002001424212026M10</v>
      </c>
      <c r="B1111">
        <v>51321001</v>
      </c>
      <c r="C1111">
        <v>14</v>
      </c>
      <c r="D1111">
        <v>200200</v>
      </c>
      <c r="E1111">
        <v>142421</v>
      </c>
      <c r="F1111" t="s">
        <v>115</v>
      </c>
      <c r="G1111" t="s">
        <v>72</v>
      </c>
      <c r="H1111">
        <v>2900</v>
      </c>
      <c r="I1111">
        <v>0</v>
      </c>
      <c r="J1111">
        <v>2900</v>
      </c>
      <c r="K1111">
        <v>0</v>
      </c>
      <c r="L1111">
        <v>0</v>
      </c>
    </row>
    <row r="1112" spans="1:12" x14ac:dyDescent="0.25">
      <c r="A1112" t="str">
        <f t="shared" si="17"/>
        <v>2002001424212026M11</v>
      </c>
      <c r="B1112">
        <v>51321001</v>
      </c>
      <c r="C1112">
        <v>14</v>
      </c>
      <c r="D1112">
        <v>200200</v>
      </c>
      <c r="E1112">
        <v>142421</v>
      </c>
      <c r="F1112" t="s">
        <v>115</v>
      </c>
      <c r="G1112" t="s">
        <v>73</v>
      </c>
      <c r="H1112">
        <v>2900</v>
      </c>
      <c r="I1112">
        <v>0</v>
      </c>
      <c r="J1112">
        <v>2900</v>
      </c>
      <c r="K1112">
        <v>0</v>
      </c>
      <c r="L1112">
        <v>0</v>
      </c>
    </row>
    <row r="1113" spans="1:12" x14ac:dyDescent="0.25">
      <c r="A1113" t="str">
        <f t="shared" si="17"/>
        <v>2002001424212026M12</v>
      </c>
      <c r="B1113">
        <v>51321001</v>
      </c>
      <c r="C1113">
        <v>14</v>
      </c>
      <c r="D1113">
        <v>200200</v>
      </c>
      <c r="E1113">
        <v>142421</v>
      </c>
      <c r="F1113" t="s">
        <v>115</v>
      </c>
      <c r="G1113" t="s">
        <v>74</v>
      </c>
      <c r="H1113">
        <v>5800</v>
      </c>
      <c r="I1113">
        <v>0</v>
      </c>
      <c r="J1113">
        <v>5800</v>
      </c>
      <c r="K1113">
        <v>0</v>
      </c>
      <c r="L1113">
        <v>0</v>
      </c>
    </row>
    <row r="1114" spans="1:12" x14ac:dyDescent="0.25">
      <c r="A1114" t="str">
        <f t="shared" si="17"/>
        <v>2002001424232026M02</v>
      </c>
      <c r="B1114">
        <v>51321001</v>
      </c>
      <c r="C1114">
        <v>14</v>
      </c>
      <c r="D1114">
        <v>200200</v>
      </c>
      <c r="E1114">
        <v>142423</v>
      </c>
      <c r="F1114" t="s">
        <v>115</v>
      </c>
      <c r="G1114" t="s">
        <v>64</v>
      </c>
      <c r="H1114">
        <v>0</v>
      </c>
      <c r="I1114">
        <v>0</v>
      </c>
      <c r="J1114">
        <v>0</v>
      </c>
      <c r="K1114">
        <v>0</v>
      </c>
      <c r="L1114">
        <v>0</v>
      </c>
    </row>
    <row r="1115" spans="1:12" x14ac:dyDescent="0.25">
      <c r="A1115" t="str">
        <f t="shared" si="17"/>
        <v>2002001424232026M03</v>
      </c>
      <c r="B1115">
        <v>51321001</v>
      </c>
      <c r="C1115">
        <v>14</v>
      </c>
      <c r="D1115">
        <v>200200</v>
      </c>
      <c r="E1115">
        <v>142423</v>
      </c>
      <c r="F1115" t="s">
        <v>115</v>
      </c>
      <c r="G1115" t="s">
        <v>65</v>
      </c>
      <c r="H1115">
        <v>12328.48</v>
      </c>
      <c r="I1115">
        <v>12328.48</v>
      </c>
      <c r="J1115">
        <v>0</v>
      </c>
      <c r="K1115">
        <v>0</v>
      </c>
      <c r="L1115">
        <v>0</v>
      </c>
    </row>
    <row r="1116" spans="1:12" x14ac:dyDescent="0.25">
      <c r="A1116" t="str">
        <f t="shared" si="17"/>
        <v>2002001424232026M04</v>
      </c>
      <c r="B1116">
        <v>51321001</v>
      </c>
      <c r="C1116">
        <v>14</v>
      </c>
      <c r="D1116">
        <v>200200</v>
      </c>
      <c r="E1116">
        <v>142423</v>
      </c>
      <c r="F1116" t="s">
        <v>115</v>
      </c>
      <c r="G1116" t="s">
        <v>66</v>
      </c>
      <c r="H1116">
        <v>6164.24</v>
      </c>
      <c r="I1116">
        <v>6164.24</v>
      </c>
      <c r="J1116">
        <v>0</v>
      </c>
      <c r="K1116">
        <v>0</v>
      </c>
      <c r="L1116">
        <v>0</v>
      </c>
    </row>
    <row r="1117" spans="1:12" x14ac:dyDescent="0.25">
      <c r="A1117" t="str">
        <f t="shared" si="17"/>
        <v>2002001424232026M05</v>
      </c>
      <c r="B1117">
        <v>51321001</v>
      </c>
      <c r="C1117">
        <v>14</v>
      </c>
      <c r="D1117">
        <v>200200</v>
      </c>
      <c r="E1117">
        <v>142423</v>
      </c>
      <c r="F1117" t="s">
        <v>115</v>
      </c>
      <c r="G1117" t="s">
        <v>67</v>
      </c>
      <c r="H1117">
        <v>6164.24</v>
      </c>
      <c r="I1117">
        <v>6164.24</v>
      </c>
      <c r="J1117">
        <v>0</v>
      </c>
      <c r="K1117">
        <v>0</v>
      </c>
      <c r="L1117">
        <v>0</v>
      </c>
    </row>
    <row r="1118" spans="1:12" x14ac:dyDescent="0.25">
      <c r="A1118" t="str">
        <f t="shared" si="17"/>
        <v>2002001424232026M06</v>
      </c>
      <c r="B1118">
        <v>51321001</v>
      </c>
      <c r="C1118">
        <v>14</v>
      </c>
      <c r="D1118">
        <v>200200</v>
      </c>
      <c r="E1118">
        <v>142423</v>
      </c>
      <c r="F1118" t="s">
        <v>115</v>
      </c>
      <c r="G1118" t="s">
        <v>68</v>
      </c>
      <c r="H1118">
        <v>6164.24</v>
      </c>
      <c r="I1118">
        <v>6164.24</v>
      </c>
      <c r="J1118">
        <v>0</v>
      </c>
      <c r="K1118">
        <v>0</v>
      </c>
      <c r="L1118">
        <v>0</v>
      </c>
    </row>
    <row r="1119" spans="1:12" x14ac:dyDescent="0.25">
      <c r="A1119" t="str">
        <f t="shared" si="17"/>
        <v>2002001424232026M07</v>
      </c>
      <c r="B1119">
        <v>51321001</v>
      </c>
      <c r="C1119">
        <v>14</v>
      </c>
      <c r="D1119">
        <v>200200</v>
      </c>
      <c r="E1119">
        <v>142423</v>
      </c>
      <c r="F1119" t="s">
        <v>115</v>
      </c>
      <c r="G1119" t="s">
        <v>69</v>
      </c>
      <c r="H1119">
        <v>6164.24</v>
      </c>
      <c r="I1119">
        <v>6164.24</v>
      </c>
      <c r="J1119">
        <v>0</v>
      </c>
      <c r="K1119">
        <v>0</v>
      </c>
      <c r="L1119">
        <v>0</v>
      </c>
    </row>
    <row r="1120" spans="1:12" x14ac:dyDescent="0.25">
      <c r="A1120" t="str">
        <f t="shared" si="17"/>
        <v>2002001424232026M08</v>
      </c>
      <c r="B1120">
        <v>51321001</v>
      </c>
      <c r="C1120">
        <v>14</v>
      </c>
      <c r="D1120">
        <v>200200</v>
      </c>
      <c r="E1120">
        <v>142423</v>
      </c>
      <c r="F1120" t="s">
        <v>115</v>
      </c>
      <c r="G1120" t="s">
        <v>70</v>
      </c>
      <c r="H1120">
        <v>6164.24</v>
      </c>
      <c r="I1120">
        <v>6164.24</v>
      </c>
      <c r="J1120">
        <v>0</v>
      </c>
      <c r="K1120">
        <v>0</v>
      </c>
      <c r="L1120">
        <v>0</v>
      </c>
    </row>
    <row r="1121" spans="1:12" x14ac:dyDescent="0.25">
      <c r="A1121" t="str">
        <f t="shared" si="17"/>
        <v>2002001424232026M09</v>
      </c>
      <c r="B1121">
        <v>51321001</v>
      </c>
      <c r="C1121">
        <v>14</v>
      </c>
      <c r="D1121">
        <v>200200</v>
      </c>
      <c r="E1121">
        <v>142423</v>
      </c>
      <c r="F1121" t="s">
        <v>115</v>
      </c>
      <c r="G1121" t="s">
        <v>71</v>
      </c>
      <c r="H1121">
        <v>6164.24</v>
      </c>
      <c r="I1121">
        <v>6164.24</v>
      </c>
      <c r="J1121">
        <v>0</v>
      </c>
      <c r="K1121">
        <v>0</v>
      </c>
      <c r="L1121">
        <v>0</v>
      </c>
    </row>
    <row r="1122" spans="1:12" x14ac:dyDescent="0.25">
      <c r="A1122" t="str">
        <f t="shared" si="17"/>
        <v>2002001424232026M10</v>
      </c>
      <c r="B1122">
        <v>51321001</v>
      </c>
      <c r="C1122">
        <v>14</v>
      </c>
      <c r="D1122">
        <v>200200</v>
      </c>
      <c r="E1122">
        <v>142423</v>
      </c>
      <c r="F1122" t="s">
        <v>115</v>
      </c>
      <c r="G1122" t="s">
        <v>72</v>
      </c>
      <c r="H1122">
        <v>6180.08</v>
      </c>
      <c r="I1122">
        <v>0</v>
      </c>
      <c r="J1122">
        <v>6180.08</v>
      </c>
      <c r="K1122">
        <v>0</v>
      </c>
      <c r="L1122">
        <v>0</v>
      </c>
    </row>
    <row r="1123" spans="1:12" x14ac:dyDescent="0.25">
      <c r="A1123" t="str">
        <f t="shared" si="17"/>
        <v>2002001424232026M11</v>
      </c>
      <c r="B1123">
        <v>51321001</v>
      </c>
      <c r="C1123">
        <v>14</v>
      </c>
      <c r="D1123">
        <v>200200</v>
      </c>
      <c r="E1123">
        <v>142423</v>
      </c>
      <c r="F1123" t="s">
        <v>115</v>
      </c>
      <c r="G1123" t="s">
        <v>73</v>
      </c>
      <c r="H1123">
        <v>6166</v>
      </c>
      <c r="I1123">
        <v>0</v>
      </c>
      <c r="J1123">
        <v>6166</v>
      </c>
      <c r="K1123">
        <v>0</v>
      </c>
      <c r="L1123">
        <v>0</v>
      </c>
    </row>
    <row r="1124" spans="1:12" x14ac:dyDescent="0.25">
      <c r="A1124" t="str">
        <f t="shared" si="17"/>
        <v>2002001424232026M12</v>
      </c>
      <c r="B1124">
        <v>51321001</v>
      </c>
      <c r="C1124">
        <v>14</v>
      </c>
      <c r="D1124">
        <v>200200</v>
      </c>
      <c r="E1124">
        <v>142423</v>
      </c>
      <c r="F1124" t="s">
        <v>115</v>
      </c>
      <c r="G1124" t="s">
        <v>74</v>
      </c>
      <c r="H1124">
        <v>12324.8</v>
      </c>
      <c r="I1124">
        <v>0</v>
      </c>
      <c r="J1124">
        <v>12324.8</v>
      </c>
      <c r="K1124">
        <v>0</v>
      </c>
      <c r="L1124">
        <v>0</v>
      </c>
    </row>
    <row r="1125" spans="1:12" x14ac:dyDescent="0.25">
      <c r="A1125" t="str">
        <f t="shared" si="17"/>
        <v>2002001424432026M02</v>
      </c>
      <c r="B1125">
        <v>51321001</v>
      </c>
      <c r="C1125">
        <v>14</v>
      </c>
      <c r="D1125">
        <v>200200</v>
      </c>
      <c r="E1125">
        <v>142443</v>
      </c>
      <c r="F1125" t="s">
        <v>115</v>
      </c>
      <c r="G1125" t="s">
        <v>64</v>
      </c>
      <c r="H1125">
        <v>0</v>
      </c>
      <c r="I1125">
        <v>0</v>
      </c>
      <c r="J1125">
        <v>0</v>
      </c>
      <c r="K1125">
        <v>0</v>
      </c>
      <c r="L1125">
        <v>0</v>
      </c>
    </row>
    <row r="1126" spans="1:12" x14ac:dyDescent="0.25">
      <c r="A1126" t="str">
        <f t="shared" si="17"/>
        <v>2002001424432026M03</v>
      </c>
      <c r="B1126">
        <v>51321001</v>
      </c>
      <c r="C1126">
        <v>14</v>
      </c>
      <c r="D1126">
        <v>200200</v>
      </c>
      <c r="E1126">
        <v>142443</v>
      </c>
      <c r="F1126" t="s">
        <v>115</v>
      </c>
      <c r="G1126" t="s">
        <v>65</v>
      </c>
      <c r="H1126">
        <v>0</v>
      </c>
      <c r="I1126">
        <v>0</v>
      </c>
      <c r="J1126">
        <v>0</v>
      </c>
      <c r="K1126">
        <v>0</v>
      </c>
      <c r="L1126">
        <v>0</v>
      </c>
    </row>
    <row r="1127" spans="1:12" x14ac:dyDescent="0.25">
      <c r="A1127" t="str">
        <f t="shared" si="17"/>
        <v>2002001424432026M04</v>
      </c>
      <c r="B1127">
        <v>51321001</v>
      </c>
      <c r="C1127">
        <v>14</v>
      </c>
      <c r="D1127">
        <v>200200</v>
      </c>
      <c r="E1127">
        <v>142443</v>
      </c>
      <c r="F1127" t="s">
        <v>115</v>
      </c>
      <c r="G1127" t="s">
        <v>66</v>
      </c>
      <c r="H1127">
        <v>0</v>
      </c>
      <c r="I1127">
        <v>0</v>
      </c>
      <c r="J1127">
        <v>0</v>
      </c>
      <c r="K1127">
        <v>0</v>
      </c>
      <c r="L1127">
        <v>0</v>
      </c>
    </row>
    <row r="1128" spans="1:12" x14ac:dyDescent="0.25">
      <c r="A1128" t="str">
        <f t="shared" si="17"/>
        <v>2002001424432026M05</v>
      </c>
      <c r="B1128">
        <v>51321001</v>
      </c>
      <c r="C1128">
        <v>14</v>
      </c>
      <c r="D1128">
        <v>200200</v>
      </c>
      <c r="E1128">
        <v>142443</v>
      </c>
      <c r="F1128" t="s">
        <v>115</v>
      </c>
      <c r="G1128" t="s">
        <v>67</v>
      </c>
      <c r="H1128">
        <v>0</v>
      </c>
      <c r="I1128">
        <v>0</v>
      </c>
      <c r="J1128">
        <v>0</v>
      </c>
      <c r="K1128">
        <v>0</v>
      </c>
      <c r="L1128">
        <v>0</v>
      </c>
    </row>
    <row r="1129" spans="1:12" x14ac:dyDescent="0.25">
      <c r="A1129" t="str">
        <f t="shared" si="17"/>
        <v>2002001424432026M06</v>
      </c>
      <c r="B1129">
        <v>51321001</v>
      </c>
      <c r="C1129">
        <v>14</v>
      </c>
      <c r="D1129">
        <v>200200</v>
      </c>
      <c r="E1129">
        <v>142443</v>
      </c>
      <c r="F1129" t="s">
        <v>115</v>
      </c>
      <c r="G1129" t="s">
        <v>68</v>
      </c>
      <c r="H1129">
        <v>184609.35</v>
      </c>
      <c r="I1129">
        <v>184609.35</v>
      </c>
      <c r="J1129">
        <v>0</v>
      </c>
      <c r="K1129">
        <v>0</v>
      </c>
      <c r="L1129">
        <v>0</v>
      </c>
    </row>
    <row r="1130" spans="1:12" x14ac:dyDescent="0.25">
      <c r="A1130" t="str">
        <f t="shared" si="17"/>
        <v>2002001424432026M07</v>
      </c>
      <c r="B1130">
        <v>51321001</v>
      </c>
      <c r="C1130">
        <v>14</v>
      </c>
      <c r="D1130">
        <v>200200</v>
      </c>
      <c r="E1130">
        <v>142443</v>
      </c>
      <c r="F1130" t="s">
        <v>115</v>
      </c>
      <c r="G1130" t="s">
        <v>69</v>
      </c>
      <c r="H1130">
        <v>36921.870000000003</v>
      </c>
      <c r="I1130">
        <v>36921.870000000003</v>
      </c>
      <c r="J1130">
        <v>0</v>
      </c>
      <c r="K1130">
        <v>0</v>
      </c>
      <c r="L1130">
        <v>0</v>
      </c>
    </row>
    <row r="1131" spans="1:12" x14ac:dyDescent="0.25">
      <c r="A1131" t="str">
        <f t="shared" si="17"/>
        <v>2002001424432026M08</v>
      </c>
      <c r="B1131">
        <v>51321001</v>
      </c>
      <c r="C1131">
        <v>14</v>
      </c>
      <c r="D1131">
        <v>200200</v>
      </c>
      <c r="E1131">
        <v>142443</v>
      </c>
      <c r="F1131" t="s">
        <v>115</v>
      </c>
      <c r="G1131" t="s">
        <v>70</v>
      </c>
      <c r="H1131">
        <v>36921.870000000003</v>
      </c>
      <c r="I1131">
        <v>36921.870000000003</v>
      </c>
      <c r="J1131">
        <v>0</v>
      </c>
      <c r="K1131">
        <v>0</v>
      </c>
      <c r="L1131">
        <v>0</v>
      </c>
    </row>
    <row r="1132" spans="1:12" x14ac:dyDescent="0.25">
      <c r="A1132" t="str">
        <f t="shared" si="17"/>
        <v>2002001424432026M09</v>
      </c>
      <c r="B1132">
        <v>51321001</v>
      </c>
      <c r="C1132">
        <v>14</v>
      </c>
      <c r="D1132">
        <v>200200</v>
      </c>
      <c r="E1132">
        <v>142443</v>
      </c>
      <c r="F1132" t="s">
        <v>115</v>
      </c>
      <c r="G1132" t="s">
        <v>71</v>
      </c>
      <c r="H1132">
        <v>0</v>
      </c>
      <c r="I1132">
        <v>0</v>
      </c>
      <c r="J1132">
        <v>0</v>
      </c>
      <c r="K1132">
        <v>0</v>
      </c>
      <c r="L1132">
        <v>0</v>
      </c>
    </row>
    <row r="1133" spans="1:12" x14ac:dyDescent="0.25">
      <c r="A1133" t="str">
        <f t="shared" si="17"/>
        <v>2002001424432026M10</v>
      </c>
      <c r="B1133">
        <v>51321001</v>
      </c>
      <c r="C1133">
        <v>14</v>
      </c>
      <c r="D1133">
        <v>200200</v>
      </c>
      <c r="E1133">
        <v>142443</v>
      </c>
      <c r="F1133" t="s">
        <v>115</v>
      </c>
      <c r="G1133" t="s">
        <v>72</v>
      </c>
      <c r="H1133">
        <v>147687.91</v>
      </c>
      <c r="I1133">
        <v>0</v>
      </c>
      <c r="J1133">
        <v>147687.91</v>
      </c>
      <c r="K1133">
        <v>0</v>
      </c>
      <c r="L1133">
        <v>0</v>
      </c>
    </row>
    <row r="1134" spans="1:12" x14ac:dyDescent="0.25">
      <c r="A1134" t="str">
        <f t="shared" si="17"/>
        <v>2002001424432026M11</v>
      </c>
      <c r="B1134">
        <v>51321001</v>
      </c>
      <c r="C1134">
        <v>14</v>
      </c>
      <c r="D1134">
        <v>200200</v>
      </c>
      <c r="E1134">
        <v>142443</v>
      </c>
      <c r="F1134" t="s">
        <v>115</v>
      </c>
      <c r="G1134" t="s">
        <v>73</v>
      </c>
      <c r="H1134">
        <v>73843.5</v>
      </c>
      <c r="I1134">
        <v>0</v>
      </c>
      <c r="J1134">
        <v>73843.5</v>
      </c>
      <c r="K1134">
        <v>0</v>
      </c>
      <c r="L1134">
        <v>0</v>
      </c>
    </row>
    <row r="1135" spans="1:12" x14ac:dyDescent="0.25">
      <c r="A1135" t="str">
        <f t="shared" si="17"/>
        <v>2002001424432026M12</v>
      </c>
      <c r="B1135">
        <v>51321001</v>
      </c>
      <c r="C1135">
        <v>14</v>
      </c>
      <c r="D1135">
        <v>200200</v>
      </c>
      <c r="E1135">
        <v>142443</v>
      </c>
      <c r="F1135" t="s">
        <v>115</v>
      </c>
      <c r="G1135" t="s">
        <v>74</v>
      </c>
      <c r="H1135">
        <v>147687</v>
      </c>
      <c r="I1135">
        <v>0</v>
      </c>
      <c r="J1135">
        <v>110763.59</v>
      </c>
      <c r="K1135">
        <v>0</v>
      </c>
      <c r="L1135">
        <v>36923.410000000003</v>
      </c>
    </row>
    <row r="1136" spans="1:12" x14ac:dyDescent="0.25">
      <c r="A1136" t="str">
        <f t="shared" si="17"/>
        <v>2002001424452026M02</v>
      </c>
      <c r="B1136">
        <v>51321001</v>
      </c>
      <c r="C1136">
        <v>14</v>
      </c>
      <c r="D1136">
        <v>200200</v>
      </c>
      <c r="E1136">
        <v>142445</v>
      </c>
      <c r="F1136" t="s">
        <v>115</v>
      </c>
      <c r="G1136" t="s">
        <v>64</v>
      </c>
      <c r="H1136">
        <v>1406.78</v>
      </c>
      <c r="I1136">
        <v>1406.78</v>
      </c>
      <c r="J1136">
        <v>0</v>
      </c>
      <c r="K1136">
        <v>0</v>
      </c>
      <c r="L1136">
        <v>0</v>
      </c>
    </row>
    <row r="1137" spans="1:12" x14ac:dyDescent="0.25">
      <c r="A1137" t="str">
        <f t="shared" si="17"/>
        <v>2002001424452026M03</v>
      </c>
      <c r="B1137">
        <v>51321001</v>
      </c>
      <c r="C1137">
        <v>14</v>
      </c>
      <c r="D1137">
        <v>200200</v>
      </c>
      <c r="E1137">
        <v>142445</v>
      </c>
      <c r="F1137" t="s">
        <v>115</v>
      </c>
      <c r="G1137" t="s">
        <v>65</v>
      </c>
      <c r="H1137">
        <v>1406.78</v>
      </c>
      <c r="I1137">
        <v>1406.78</v>
      </c>
      <c r="J1137">
        <v>0</v>
      </c>
      <c r="K1137">
        <v>0</v>
      </c>
      <c r="L1137">
        <v>0</v>
      </c>
    </row>
    <row r="1138" spans="1:12" x14ac:dyDescent="0.25">
      <c r="A1138" t="str">
        <f t="shared" si="17"/>
        <v>2002001424452026M04</v>
      </c>
      <c r="B1138">
        <v>51321001</v>
      </c>
      <c r="C1138">
        <v>14</v>
      </c>
      <c r="D1138">
        <v>200200</v>
      </c>
      <c r="E1138">
        <v>142445</v>
      </c>
      <c r="F1138" t="s">
        <v>115</v>
      </c>
      <c r="G1138" t="s">
        <v>66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x14ac:dyDescent="0.25">
      <c r="A1139" t="str">
        <f t="shared" si="17"/>
        <v>2002001424452026M05</v>
      </c>
      <c r="B1139">
        <v>51321001</v>
      </c>
      <c r="C1139">
        <v>14</v>
      </c>
      <c r="D1139">
        <v>200200</v>
      </c>
      <c r="E1139">
        <v>142445</v>
      </c>
      <c r="F1139" t="s">
        <v>115</v>
      </c>
      <c r="G1139" t="s">
        <v>67</v>
      </c>
      <c r="H1139">
        <v>2813.56</v>
      </c>
      <c r="I1139">
        <v>2813.56</v>
      </c>
      <c r="J1139">
        <v>0</v>
      </c>
      <c r="K1139">
        <v>0</v>
      </c>
      <c r="L1139">
        <v>0</v>
      </c>
    </row>
    <row r="1140" spans="1:12" x14ac:dyDescent="0.25">
      <c r="A1140" t="str">
        <f t="shared" si="17"/>
        <v>2002001424452026M06</v>
      </c>
      <c r="B1140">
        <v>51321001</v>
      </c>
      <c r="C1140">
        <v>14</v>
      </c>
      <c r="D1140">
        <v>200200</v>
      </c>
      <c r="E1140">
        <v>142445</v>
      </c>
      <c r="F1140" t="s">
        <v>115</v>
      </c>
      <c r="G1140" t="s">
        <v>68</v>
      </c>
      <c r="H1140">
        <v>1406.78</v>
      </c>
      <c r="I1140">
        <v>1406.78</v>
      </c>
      <c r="J1140">
        <v>0</v>
      </c>
      <c r="K1140">
        <v>0</v>
      </c>
      <c r="L1140">
        <v>0</v>
      </c>
    </row>
    <row r="1141" spans="1:12" x14ac:dyDescent="0.25">
      <c r="A1141" t="str">
        <f t="shared" si="17"/>
        <v>2002001424452026M07</v>
      </c>
      <c r="B1141">
        <v>51321001</v>
      </c>
      <c r="C1141">
        <v>14</v>
      </c>
      <c r="D1141">
        <v>200200</v>
      </c>
      <c r="E1141">
        <v>142445</v>
      </c>
      <c r="F1141" t="s">
        <v>115</v>
      </c>
      <c r="G1141" t="s">
        <v>69</v>
      </c>
      <c r="H1141">
        <v>1406.78</v>
      </c>
      <c r="I1141">
        <v>1406.78</v>
      </c>
      <c r="J1141">
        <v>0</v>
      </c>
      <c r="K1141">
        <v>0</v>
      </c>
      <c r="L1141">
        <v>0</v>
      </c>
    </row>
    <row r="1142" spans="1:12" x14ac:dyDescent="0.25">
      <c r="A1142" t="str">
        <f t="shared" si="17"/>
        <v>2002001424452026M08</v>
      </c>
      <c r="B1142">
        <v>51321001</v>
      </c>
      <c r="C1142">
        <v>14</v>
      </c>
      <c r="D1142">
        <v>200200</v>
      </c>
      <c r="E1142">
        <v>142445</v>
      </c>
      <c r="F1142" t="s">
        <v>115</v>
      </c>
      <c r="G1142" t="s">
        <v>70</v>
      </c>
      <c r="H1142">
        <v>1406.78</v>
      </c>
      <c r="I1142">
        <v>1406.78</v>
      </c>
      <c r="J1142">
        <v>0</v>
      </c>
      <c r="K1142">
        <v>0</v>
      </c>
      <c r="L1142">
        <v>0</v>
      </c>
    </row>
    <row r="1143" spans="1:12" x14ac:dyDescent="0.25">
      <c r="A1143" t="str">
        <f t="shared" si="17"/>
        <v>2002001424452026M09</v>
      </c>
      <c r="B1143">
        <v>51321001</v>
      </c>
      <c r="C1143">
        <v>14</v>
      </c>
      <c r="D1143">
        <v>200200</v>
      </c>
      <c r="E1143">
        <v>142445</v>
      </c>
      <c r="F1143" t="s">
        <v>115</v>
      </c>
      <c r="G1143" t="s">
        <v>71</v>
      </c>
      <c r="H1143">
        <v>0</v>
      </c>
      <c r="I1143">
        <v>0</v>
      </c>
      <c r="J1143">
        <v>0</v>
      </c>
      <c r="K1143">
        <v>0</v>
      </c>
      <c r="L1143">
        <v>0</v>
      </c>
    </row>
    <row r="1144" spans="1:12" x14ac:dyDescent="0.25">
      <c r="A1144" t="str">
        <f t="shared" si="17"/>
        <v>2002001424452026M10</v>
      </c>
      <c r="B1144">
        <v>51321001</v>
      </c>
      <c r="C1144">
        <v>14</v>
      </c>
      <c r="D1144">
        <v>200200</v>
      </c>
      <c r="E1144">
        <v>142445</v>
      </c>
      <c r="F1144" t="s">
        <v>115</v>
      </c>
      <c r="G1144" t="s">
        <v>72</v>
      </c>
      <c r="H1144">
        <v>2815.54</v>
      </c>
      <c r="I1144">
        <v>0</v>
      </c>
      <c r="J1144">
        <v>2815.54</v>
      </c>
      <c r="K1144">
        <v>0</v>
      </c>
      <c r="L1144">
        <v>0</v>
      </c>
    </row>
    <row r="1145" spans="1:12" x14ac:dyDescent="0.25">
      <c r="A1145" t="str">
        <f t="shared" si="17"/>
        <v>2002001424452026M11</v>
      </c>
      <c r="B1145">
        <v>51321001</v>
      </c>
      <c r="C1145">
        <v>14</v>
      </c>
      <c r="D1145">
        <v>200200</v>
      </c>
      <c r="E1145">
        <v>142445</v>
      </c>
      <c r="F1145" t="s">
        <v>115</v>
      </c>
      <c r="G1145" t="s">
        <v>73</v>
      </c>
      <c r="H1145">
        <v>1407</v>
      </c>
      <c r="I1145">
        <v>0</v>
      </c>
      <c r="J1145">
        <v>1407</v>
      </c>
      <c r="K1145">
        <v>0</v>
      </c>
      <c r="L1145">
        <v>0</v>
      </c>
    </row>
    <row r="1146" spans="1:12" x14ac:dyDescent="0.25">
      <c r="A1146" t="str">
        <f t="shared" si="17"/>
        <v>2002001424452026M12</v>
      </c>
      <c r="B1146">
        <v>51321001</v>
      </c>
      <c r="C1146">
        <v>14</v>
      </c>
      <c r="D1146">
        <v>200200</v>
      </c>
      <c r="E1146">
        <v>142445</v>
      </c>
      <c r="F1146" t="s">
        <v>115</v>
      </c>
      <c r="G1146" t="s">
        <v>74</v>
      </c>
      <c r="H1146">
        <v>2811.48</v>
      </c>
      <c r="I1146">
        <v>0</v>
      </c>
      <c r="J1146">
        <v>2811.48</v>
      </c>
      <c r="K1146">
        <v>0</v>
      </c>
      <c r="L1146">
        <v>0</v>
      </c>
    </row>
    <row r="1147" spans="1:12" x14ac:dyDescent="0.25">
      <c r="A1147" t="str">
        <f t="shared" si="17"/>
        <v>2002001424462026M02</v>
      </c>
      <c r="B1147">
        <v>51321001</v>
      </c>
      <c r="C1147">
        <v>14</v>
      </c>
      <c r="D1147">
        <v>200200</v>
      </c>
      <c r="E1147">
        <v>142446</v>
      </c>
      <c r="F1147" t="s">
        <v>115</v>
      </c>
      <c r="G1147" t="s">
        <v>64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x14ac:dyDescent="0.25">
      <c r="A1148" t="str">
        <f t="shared" si="17"/>
        <v>2002001424462026M03</v>
      </c>
      <c r="B1148">
        <v>51321001</v>
      </c>
      <c r="C1148">
        <v>14</v>
      </c>
      <c r="D1148">
        <v>200200</v>
      </c>
      <c r="E1148">
        <v>142446</v>
      </c>
      <c r="F1148" t="s">
        <v>115</v>
      </c>
      <c r="G1148" t="s">
        <v>65</v>
      </c>
      <c r="H1148">
        <v>11832</v>
      </c>
      <c r="I1148">
        <v>11832</v>
      </c>
      <c r="J1148">
        <v>0</v>
      </c>
      <c r="K1148">
        <v>0</v>
      </c>
      <c r="L1148">
        <v>0</v>
      </c>
    </row>
    <row r="1149" spans="1:12" x14ac:dyDescent="0.25">
      <c r="A1149" t="str">
        <f t="shared" si="17"/>
        <v>2002001424462026M04</v>
      </c>
      <c r="B1149">
        <v>51321001</v>
      </c>
      <c r="C1149">
        <v>14</v>
      </c>
      <c r="D1149">
        <v>200200</v>
      </c>
      <c r="E1149">
        <v>142446</v>
      </c>
      <c r="F1149" t="s">
        <v>115</v>
      </c>
      <c r="G1149" t="s">
        <v>66</v>
      </c>
      <c r="H1149">
        <v>5916</v>
      </c>
      <c r="I1149">
        <v>5916</v>
      </c>
      <c r="J1149">
        <v>0</v>
      </c>
      <c r="K1149">
        <v>0</v>
      </c>
      <c r="L1149">
        <v>0</v>
      </c>
    </row>
    <row r="1150" spans="1:12" x14ac:dyDescent="0.25">
      <c r="A1150" t="str">
        <f t="shared" si="17"/>
        <v>2002001424462026M05</v>
      </c>
      <c r="B1150">
        <v>51321001</v>
      </c>
      <c r="C1150">
        <v>14</v>
      </c>
      <c r="D1150">
        <v>200200</v>
      </c>
      <c r="E1150">
        <v>142446</v>
      </c>
      <c r="F1150" t="s">
        <v>115</v>
      </c>
      <c r="G1150" t="s">
        <v>67</v>
      </c>
      <c r="H1150">
        <v>0</v>
      </c>
      <c r="I1150">
        <v>0</v>
      </c>
      <c r="J1150">
        <v>0</v>
      </c>
      <c r="K1150">
        <v>0</v>
      </c>
      <c r="L1150">
        <v>0</v>
      </c>
    </row>
    <row r="1151" spans="1:12" x14ac:dyDescent="0.25">
      <c r="A1151" t="str">
        <f t="shared" si="17"/>
        <v>2002001424462026M06</v>
      </c>
      <c r="B1151">
        <v>51321001</v>
      </c>
      <c r="C1151">
        <v>14</v>
      </c>
      <c r="D1151">
        <v>200200</v>
      </c>
      <c r="E1151">
        <v>142446</v>
      </c>
      <c r="F1151" t="s">
        <v>115</v>
      </c>
      <c r="G1151" t="s">
        <v>68</v>
      </c>
      <c r="H1151">
        <v>11832</v>
      </c>
      <c r="I1151">
        <v>11832</v>
      </c>
      <c r="J1151">
        <v>0</v>
      </c>
      <c r="K1151">
        <v>0</v>
      </c>
      <c r="L1151">
        <v>0</v>
      </c>
    </row>
    <row r="1152" spans="1:12" x14ac:dyDescent="0.25">
      <c r="A1152" t="str">
        <f t="shared" si="17"/>
        <v>2002001424462026M07</v>
      </c>
      <c r="B1152">
        <v>51321001</v>
      </c>
      <c r="C1152">
        <v>14</v>
      </c>
      <c r="D1152">
        <v>200200</v>
      </c>
      <c r="E1152">
        <v>142446</v>
      </c>
      <c r="F1152" t="s">
        <v>115</v>
      </c>
      <c r="G1152" t="s">
        <v>69</v>
      </c>
      <c r="H1152">
        <v>5916</v>
      </c>
      <c r="I1152">
        <v>5916</v>
      </c>
      <c r="J1152">
        <v>0</v>
      </c>
      <c r="K1152">
        <v>0</v>
      </c>
      <c r="L1152">
        <v>0</v>
      </c>
    </row>
    <row r="1153" spans="1:12" x14ac:dyDescent="0.25">
      <c r="A1153" t="str">
        <f t="shared" si="17"/>
        <v>2002001424462026M08</v>
      </c>
      <c r="B1153">
        <v>51321001</v>
      </c>
      <c r="C1153">
        <v>14</v>
      </c>
      <c r="D1153">
        <v>200200</v>
      </c>
      <c r="E1153">
        <v>142446</v>
      </c>
      <c r="F1153" t="s">
        <v>115</v>
      </c>
      <c r="G1153" t="s">
        <v>70</v>
      </c>
      <c r="H1153">
        <v>5916</v>
      </c>
      <c r="I1153">
        <v>5916</v>
      </c>
      <c r="J1153">
        <v>0</v>
      </c>
      <c r="K1153">
        <v>0</v>
      </c>
      <c r="L1153">
        <v>0</v>
      </c>
    </row>
    <row r="1154" spans="1:12" x14ac:dyDescent="0.25">
      <c r="A1154" t="str">
        <f t="shared" si="17"/>
        <v>2002001424462026M09</v>
      </c>
      <c r="B1154">
        <v>51321001</v>
      </c>
      <c r="C1154">
        <v>14</v>
      </c>
      <c r="D1154">
        <v>200200</v>
      </c>
      <c r="E1154">
        <v>142446</v>
      </c>
      <c r="F1154" t="s">
        <v>115</v>
      </c>
      <c r="G1154" t="s">
        <v>71</v>
      </c>
      <c r="H1154">
        <v>5916</v>
      </c>
      <c r="I1154">
        <v>5916</v>
      </c>
      <c r="J1154">
        <v>0</v>
      </c>
      <c r="K1154">
        <v>0</v>
      </c>
      <c r="L1154">
        <v>0</v>
      </c>
    </row>
    <row r="1155" spans="1:12" x14ac:dyDescent="0.25">
      <c r="A1155" t="str">
        <f t="shared" si="17"/>
        <v>2002001424462026M10</v>
      </c>
      <c r="B1155">
        <v>51321001</v>
      </c>
      <c r="C1155">
        <v>14</v>
      </c>
      <c r="D1155">
        <v>200200</v>
      </c>
      <c r="E1155">
        <v>142446</v>
      </c>
      <c r="F1155" t="s">
        <v>115</v>
      </c>
      <c r="G1155" t="s">
        <v>72</v>
      </c>
      <c r="H1155">
        <v>5916</v>
      </c>
      <c r="I1155">
        <v>0</v>
      </c>
      <c r="J1155">
        <v>5916</v>
      </c>
      <c r="K1155">
        <v>0</v>
      </c>
      <c r="L1155">
        <v>0</v>
      </c>
    </row>
    <row r="1156" spans="1:12" x14ac:dyDescent="0.25">
      <c r="A1156" t="str">
        <f t="shared" si="17"/>
        <v>2002001424462026M11</v>
      </c>
      <c r="B1156">
        <v>51321001</v>
      </c>
      <c r="C1156">
        <v>14</v>
      </c>
      <c r="D1156">
        <v>200200</v>
      </c>
      <c r="E1156">
        <v>142446</v>
      </c>
      <c r="F1156" t="s">
        <v>115</v>
      </c>
      <c r="G1156" t="s">
        <v>73</v>
      </c>
      <c r="H1156">
        <v>5916</v>
      </c>
      <c r="I1156">
        <v>0</v>
      </c>
      <c r="J1156">
        <v>5916</v>
      </c>
      <c r="K1156">
        <v>0</v>
      </c>
      <c r="L1156">
        <v>0</v>
      </c>
    </row>
    <row r="1157" spans="1:12" x14ac:dyDescent="0.25">
      <c r="A1157" t="str">
        <f t="shared" si="17"/>
        <v>2002001424462026M12</v>
      </c>
      <c r="B1157">
        <v>51321001</v>
      </c>
      <c r="C1157">
        <v>14</v>
      </c>
      <c r="D1157">
        <v>200200</v>
      </c>
      <c r="E1157">
        <v>142446</v>
      </c>
      <c r="F1157" t="s">
        <v>115</v>
      </c>
      <c r="G1157" t="s">
        <v>74</v>
      </c>
      <c r="H1157">
        <v>11832</v>
      </c>
      <c r="I1157">
        <v>0</v>
      </c>
      <c r="J1157">
        <v>11832</v>
      </c>
      <c r="K1157">
        <v>0</v>
      </c>
      <c r="L1157">
        <v>0</v>
      </c>
    </row>
    <row r="1158" spans="1:12" x14ac:dyDescent="0.25">
      <c r="A1158" t="str">
        <f t="shared" si="17"/>
        <v>2002001424482026M02</v>
      </c>
      <c r="B1158">
        <v>51321001</v>
      </c>
      <c r="C1158">
        <v>14</v>
      </c>
      <c r="D1158">
        <v>200200</v>
      </c>
      <c r="E1158">
        <v>142448</v>
      </c>
      <c r="F1158" t="s">
        <v>115</v>
      </c>
      <c r="G1158" t="s">
        <v>64</v>
      </c>
      <c r="H1158">
        <v>1113.95</v>
      </c>
      <c r="I1158">
        <v>1113.95</v>
      </c>
      <c r="J1158">
        <v>0</v>
      </c>
      <c r="K1158">
        <v>0</v>
      </c>
      <c r="L1158">
        <v>0</v>
      </c>
    </row>
    <row r="1159" spans="1:12" x14ac:dyDescent="0.25">
      <c r="A1159" t="str">
        <f t="shared" si="17"/>
        <v>2002001424482026M03</v>
      </c>
      <c r="B1159">
        <v>51321001</v>
      </c>
      <c r="C1159">
        <v>14</v>
      </c>
      <c r="D1159">
        <v>200200</v>
      </c>
      <c r="E1159">
        <v>142448</v>
      </c>
      <c r="F1159" t="s">
        <v>115</v>
      </c>
      <c r="G1159" t="s">
        <v>65</v>
      </c>
      <c r="H1159">
        <v>1113.95</v>
      </c>
      <c r="I1159">
        <v>1113.95</v>
      </c>
      <c r="J1159">
        <v>0</v>
      </c>
      <c r="K1159">
        <v>0</v>
      </c>
      <c r="L1159">
        <v>0</v>
      </c>
    </row>
    <row r="1160" spans="1:12" x14ac:dyDescent="0.25">
      <c r="A1160" t="str">
        <f t="shared" si="17"/>
        <v>2002001424482026M04</v>
      </c>
      <c r="B1160">
        <v>51321001</v>
      </c>
      <c r="C1160">
        <v>14</v>
      </c>
      <c r="D1160">
        <v>200200</v>
      </c>
      <c r="E1160">
        <v>142448</v>
      </c>
      <c r="F1160" t="s">
        <v>115</v>
      </c>
      <c r="G1160" t="s">
        <v>66</v>
      </c>
      <c r="H1160">
        <v>0</v>
      </c>
      <c r="I1160">
        <v>0</v>
      </c>
      <c r="J1160">
        <v>0</v>
      </c>
      <c r="K1160">
        <v>0</v>
      </c>
      <c r="L1160">
        <v>0</v>
      </c>
    </row>
    <row r="1161" spans="1:12" x14ac:dyDescent="0.25">
      <c r="A1161" t="str">
        <f t="shared" si="17"/>
        <v>2002001424482026M05</v>
      </c>
      <c r="B1161">
        <v>51321001</v>
      </c>
      <c r="C1161">
        <v>14</v>
      </c>
      <c r="D1161">
        <v>200200</v>
      </c>
      <c r="E1161">
        <v>142448</v>
      </c>
      <c r="F1161" t="s">
        <v>115</v>
      </c>
      <c r="G1161" t="s">
        <v>67</v>
      </c>
      <c r="H1161">
        <v>2227.9</v>
      </c>
      <c r="I1161">
        <v>2227.9</v>
      </c>
      <c r="J1161">
        <v>0</v>
      </c>
      <c r="K1161">
        <v>0</v>
      </c>
      <c r="L1161">
        <v>0</v>
      </c>
    </row>
    <row r="1162" spans="1:12" x14ac:dyDescent="0.25">
      <c r="A1162" t="str">
        <f t="shared" si="17"/>
        <v>2002001424482026M06</v>
      </c>
      <c r="B1162">
        <v>51321001</v>
      </c>
      <c r="C1162">
        <v>14</v>
      </c>
      <c r="D1162">
        <v>200200</v>
      </c>
      <c r="E1162">
        <v>142448</v>
      </c>
      <c r="F1162" t="s">
        <v>115</v>
      </c>
      <c r="G1162" t="s">
        <v>68</v>
      </c>
      <c r="H1162">
        <v>1113.95</v>
      </c>
      <c r="I1162">
        <v>1113.95</v>
      </c>
      <c r="J1162">
        <v>0</v>
      </c>
      <c r="K1162">
        <v>0</v>
      </c>
      <c r="L1162">
        <v>0</v>
      </c>
    </row>
    <row r="1163" spans="1:12" x14ac:dyDescent="0.25">
      <c r="A1163" t="str">
        <f t="shared" ref="A1163:A1226" si="18">D1163&amp;E1163&amp;G1163</f>
        <v>2002001424482026M07</v>
      </c>
      <c r="B1163">
        <v>51321001</v>
      </c>
      <c r="C1163">
        <v>14</v>
      </c>
      <c r="D1163">
        <v>200200</v>
      </c>
      <c r="E1163">
        <v>142448</v>
      </c>
      <c r="F1163" t="s">
        <v>115</v>
      </c>
      <c r="G1163" t="s">
        <v>69</v>
      </c>
      <c r="H1163">
        <v>1113.95</v>
      </c>
      <c r="I1163">
        <v>1113.95</v>
      </c>
      <c r="J1163">
        <v>0</v>
      </c>
      <c r="K1163">
        <v>0</v>
      </c>
      <c r="L1163">
        <v>0</v>
      </c>
    </row>
    <row r="1164" spans="1:12" x14ac:dyDescent="0.25">
      <c r="A1164" t="str">
        <f t="shared" si="18"/>
        <v>2002001424482026M08</v>
      </c>
      <c r="B1164">
        <v>51321001</v>
      </c>
      <c r="C1164">
        <v>14</v>
      </c>
      <c r="D1164">
        <v>200200</v>
      </c>
      <c r="E1164">
        <v>142448</v>
      </c>
      <c r="F1164" t="s">
        <v>115</v>
      </c>
      <c r="G1164" t="s">
        <v>70</v>
      </c>
      <c r="H1164">
        <v>1113.95</v>
      </c>
      <c r="I1164">
        <v>1113.95</v>
      </c>
      <c r="J1164">
        <v>0</v>
      </c>
      <c r="K1164">
        <v>0</v>
      </c>
      <c r="L1164">
        <v>0</v>
      </c>
    </row>
    <row r="1165" spans="1:12" x14ac:dyDescent="0.25">
      <c r="A1165" t="str">
        <f t="shared" si="18"/>
        <v>2002001424482026M09</v>
      </c>
      <c r="B1165">
        <v>51321001</v>
      </c>
      <c r="C1165">
        <v>14</v>
      </c>
      <c r="D1165">
        <v>200200</v>
      </c>
      <c r="E1165">
        <v>142448</v>
      </c>
      <c r="F1165" t="s">
        <v>115</v>
      </c>
      <c r="G1165" t="s">
        <v>71</v>
      </c>
      <c r="H1165">
        <v>1113.95</v>
      </c>
      <c r="I1165">
        <v>1113.95</v>
      </c>
      <c r="J1165">
        <v>0</v>
      </c>
      <c r="K1165">
        <v>0</v>
      </c>
      <c r="L1165">
        <v>0</v>
      </c>
    </row>
    <row r="1166" spans="1:12" x14ac:dyDescent="0.25">
      <c r="A1166" t="str">
        <f t="shared" si="18"/>
        <v>2002001424482026M10</v>
      </c>
      <c r="B1166">
        <v>51321001</v>
      </c>
      <c r="C1166">
        <v>14</v>
      </c>
      <c r="D1166">
        <v>200200</v>
      </c>
      <c r="E1166">
        <v>142448</v>
      </c>
      <c r="F1166" t="s">
        <v>115</v>
      </c>
      <c r="G1166" t="s">
        <v>72</v>
      </c>
      <c r="H1166">
        <v>1114.4000000000001</v>
      </c>
      <c r="I1166">
        <v>0</v>
      </c>
      <c r="J1166">
        <v>1114.4000000000001</v>
      </c>
      <c r="K1166">
        <v>0</v>
      </c>
      <c r="L1166">
        <v>0</v>
      </c>
    </row>
    <row r="1167" spans="1:12" x14ac:dyDescent="0.25">
      <c r="A1167" t="str">
        <f t="shared" si="18"/>
        <v>2002001424482026M11</v>
      </c>
      <c r="B1167">
        <v>51321001</v>
      </c>
      <c r="C1167">
        <v>14</v>
      </c>
      <c r="D1167">
        <v>200200</v>
      </c>
      <c r="E1167">
        <v>142448</v>
      </c>
      <c r="F1167" t="s">
        <v>115</v>
      </c>
      <c r="G1167" t="s">
        <v>73</v>
      </c>
      <c r="H1167">
        <v>1114</v>
      </c>
      <c r="I1167">
        <v>0</v>
      </c>
      <c r="J1167">
        <v>1114</v>
      </c>
      <c r="K1167">
        <v>0</v>
      </c>
      <c r="L1167">
        <v>0</v>
      </c>
    </row>
    <row r="1168" spans="1:12" x14ac:dyDescent="0.25">
      <c r="A1168" t="str">
        <f t="shared" si="18"/>
        <v>2002001424482026M12</v>
      </c>
      <c r="B1168">
        <v>51321001</v>
      </c>
      <c r="C1168">
        <v>14</v>
      </c>
      <c r="D1168">
        <v>200200</v>
      </c>
      <c r="E1168">
        <v>142448</v>
      </c>
      <c r="F1168" t="s">
        <v>115</v>
      </c>
      <c r="G1168" t="s">
        <v>74</v>
      </c>
      <c r="H1168">
        <v>2228</v>
      </c>
      <c r="I1168">
        <v>0</v>
      </c>
      <c r="J1168">
        <v>2227.38</v>
      </c>
      <c r="K1168">
        <v>0</v>
      </c>
      <c r="L1168">
        <v>0.62</v>
      </c>
    </row>
    <row r="1169" spans="1:12" x14ac:dyDescent="0.25">
      <c r="A1169" t="str">
        <f t="shared" si="18"/>
        <v>2002001424502026M02</v>
      </c>
      <c r="B1169">
        <v>51321001</v>
      </c>
      <c r="C1169">
        <v>14</v>
      </c>
      <c r="D1169">
        <v>200200</v>
      </c>
      <c r="E1169">
        <v>142450</v>
      </c>
      <c r="F1169" t="s">
        <v>115</v>
      </c>
      <c r="G1169" t="s">
        <v>64</v>
      </c>
      <c r="H1169">
        <v>5799.99</v>
      </c>
      <c r="I1169">
        <v>5799.99</v>
      </c>
      <c r="J1169">
        <v>0</v>
      </c>
      <c r="K1169">
        <v>0</v>
      </c>
      <c r="L1169">
        <v>0</v>
      </c>
    </row>
    <row r="1170" spans="1:12" x14ac:dyDescent="0.25">
      <c r="A1170" t="str">
        <f t="shared" si="18"/>
        <v>2002001424502026M03</v>
      </c>
      <c r="B1170">
        <v>51321001</v>
      </c>
      <c r="C1170">
        <v>14</v>
      </c>
      <c r="D1170">
        <v>200200</v>
      </c>
      <c r="E1170">
        <v>142450</v>
      </c>
      <c r="F1170" t="s">
        <v>115</v>
      </c>
      <c r="G1170" t="s">
        <v>65</v>
      </c>
      <c r="H1170">
        <v>5799.99</v>
      </c>
      <c r="I1170">
        <v>5799.99</v>
      </c>
      <c r="J1170">
        <v>0</v>
      </c>
      <c r="K1170">
        <v>0</v>
      </c>
      <c r="L1170">
        <v>0</v>
      </c>
    </row>
    <row r="1171" spans="1:12" x14ac:dyDescent="0.25">
      <c r="A1171" t="str">
        <f t="shared" si="18"/>
        <v>2002001424502026M04</v>
      </c>
      <c r="B1171">
        <v>51321001</v>
      </c>
      <c r="C1171">
        <v>14</v>
      </c>
      <c r="D1171">
        <v>200200</v>
      </c>
      <c r="E1171">
        <v>142450</v>
      </c>
      <c r="F1171" t="s">
        <v>115</v>
      </c>
      <c r="G1171" t="s">
        <v>66</v>
      </c>
      <c r="H1171">
        <v>5799.99</v>
      </c>
      <c r="I1171">
        <v>5799.99</v>
      </c>
      <c r="J1171">
        <v>0</v>
      </c>
      <c r="K1171">
        <v>0</v>
      </c>
      <c r="L1171">
        <v>0</v>
      </c>
    </row>
    <row r="1172" spans="1:12" x14ac:dyDescent="0.25">
      <c r="A1172" t="str">
        <f t="shared" si="18"/>
        <v>2002001424502026M05</v>
      </c>
      <c r="B1172">
        <v>51321001</v>
      </c>
      <c r="C1172">
        <v>14</v>
      </c>
      <c r="D1172">
        <v>200200</v>
      </c>
      <c r="E1172">
        <v>142450</v>
      </c>
      <c r="F1172" t="s">
        <v>115</v>
      </c>
      <c r="G1172" t="s">
        <v>67</v>
      </c>
      <c r="H1172">
        <v>5799.99</v>
      </c>
      <c r="I1172">
        <v>5799.99</v>
      </c>
      <c r="J1172">
        <v>0</v>
      </c>
      <c r="K1172">
        <v>0</v>
      </c>
      <c r="L1172">
        <v>0</v>
      </c>
    </row>
    <row r="1173" spans="1:12" x14ac:dyDescent="0.25">
      <c r="A1173" t="str">
        <f t="shared" si="18"/>
        <v>2002001424502026M06</v>
      </c>
      <c r="B1173">
        <v>51321001</v>
      </c>
      <c r="C1173">
        <v>14</v>
      </c>
      <c r="D1173">
        <v>200200</v>
      </c>
      <c r="E1173">
        <v>142450</v>
      </c>
      <c r="F1173" t="s">
        <v>115</v>
      </c>
      <c r="G1173" t="s">
        <v>68</v>
      </c>
      <c r="H1173">
        <v>5799.99</v>
      </c>
      <c r="I1173">
        <v>5799.99</v>
      </c>
      <c r="J1173">
        <v>0</v>
      </c>
      <c r="K1173">
        <v>0</v>
      </c>
      <c r="L1173">
        <v>0</v>
      </c>
    </row>
    <row r="1174" spans="1:12" x14ac:dyDescent="0.25">
      <c r="A1174" t="str">
        <f t="shared" si="18"/>
        <v>2002001424502026M07</v>
      </c>
      <c r="B1174">
        <v>51321001</v>
      </c>
      <c r="C1174">
        <v>14</v>
      </c>
      <c r="D1174">
        <v>200200</v>
      </c>
      <c r="E1174">
        <v>142450</v>
      </c>
      <c r="F1174" t="s">
        <v>115</v>
      </c>
      <c r="G1174" t="s">
        <v>69</v>
      </c>
      <c r="H1174">
        <v>5799.99</v>
      </c>
      <c r="I1174">
        <v>5799.99</v>
      </c>
      <c r="J1174">
        <v>0</v>
      </c>
      <c r="K1174">
        <v>0</v>
      </c>
      <c r="L1174">
        <v>0</v>
      </c>
    </row>
    <row r="1175" spans="1:12" x14ac:dyDescent="0.25">
      <c r="A1175" t="str">
        <f t="shared" si="18"/>
        <v>2002001424502026M08</v>
      </c>
      <c r="B1175">
        <v>51321001</v>
      </c>
      <c r="C1175">
        <v>14</v>
      </c>
      <c r="D1175">
        <v>200200</v>
      </c>
      <c r="E1175">
        <v>142450</v>
      </c>
      <c r="F1175" t="s">
        <v>115</v>
      </c>
      <c r="G1175" t="s">
        <v>70</v>
      </c>
      <c r="H1175">
        <v>5799.99</v>
      </c>
      <c r="I1175">
        <v>5799.99</v>
      </c>
      <c r="J1175">
        <v>0</v>
      </c>
      <c r="K1175">
        <v>0</v>
      </c>
      <c r="L1175">
        <v>0</v>
      </c>
    </row>
    <row r="1176" spans="1:12" x14ac:dyDescent="0.25">
      <c r="A1176" t="str">
        <f t="shared" si="18"/>
        <v>2002001424502026M09</v>
      </c>
      <c r="B1176">
        <v>51321001</v>
      </c>
      <c r="C1176">
        <v>14</v>
      </c>
      <c r="D1176">
        <v>200200</v>
      </c>
      <c r="E1176">
        <v>142450</v>
      </c>
      <c r="F1176" t="s">
        <v>115</v>
      </c>
      <c r="G1176" t="s">
        <v>71</v>
      </c>
      <c r="H1176">
        <v>5799.99</v>
      </c>
      <c r="I1176">
        <v>5799.99</v>
      </c>
      <c r="J1176">
        <v>0</v>
      </c>
      <c r="K1176">
        <v>0</v>
      </c>
      <c r="L1176">
        <v>0</v>
      </c>
    </row>
    <row r="1177" spans="1:12" x14ac:dyDescent="0.25">
      <c r="A1177" t="str">
        <f t="shared" si="18"/>
        <v>2002001424502026M10</v>
      </c>
      <c r="B1177">
        <v>51321001</v>
      </c>
      <c r="C1177">
        <v>14</v>
      </c>
      <c r="D1177">
        <v>200200</v>
      </c>
      <c r="E1177">
        <v>142450</v>
      </c>
      <c r="F1177" t="s">
        <v>115</v>
      </c>
      <c r="G1177" t="s">
        <v>72</v>
      </c>
      <c r="H1177">
        <v>5800.08</v>
      </c>
      <c r="I1177">
        <v>0</v>
      </c>
      <c r="J1177">
        <v>5800.08</v>
      </c>
      <c r="K1177">
        <v>0</v>
      </c>
      <c r="L1177">
        <v>0</v>
      </c>
    </row>
    <row r="1178" spans="1:12" x14ac:dyDescent="0.25">
      <c r="A1178" t="str">
        <f t="shared" si="18"/>
        <v>2002001424502026M11</v>
      </c>
      <c r="B1178">
        <v>51321001</v>
      </c>
      <c r="C1178">
        <v>14</v>
      </c>
      <c r="D1178">
        <v>200200</v>
      </c>
      <c r="E1178">
        <v>142450</v>
      </c>
      <c r="F1178" t="s">
        <v>115</v>
      </c>
      <c r="G1178" t="s">
        <v>73</v>
      </c>
      <c r="H1178">
        <v>5800</v>
      </c>
      <c r="I1178">
        <v>0</v>
      </c>
      <c r="J1178">
        <v>5800</v>
      </c>
      <c r="K1178">
        <v>0</v>
      </c>
      <c r="L1178">
        <v>0</v>
      </c>
    </row>
    <row r="1179" spans="1:12" x14ac:dyDescent="0.25">
      <c r="A1179" t="str">
        <f t="shared" si="18"/>
        <v>2002001424502026M12</v>
      </c>
      <c r="B1179">
        <v>51321001</v>
      </c>
      <c r="C1179">
        <v>14</v>
      </c>
      <c r="D1179">
        <v>200200</v>
      </c>
      <c r="E1179">
        <v>142450</v>
      </c>
      <c r="F1179" t="s">
        <v>115</v>
      </c>
      <c r="G1179" t="s">
        <v>74</v>
      </c>
      <c r="H1179">
        <v>11600</v>
      </c>
      <c r="I1179">
        <v>0</v>
      </c>
      <c r="J1179">
        <v>11600</v>
      </c>
      <c r="K1179">
        <v>0</v>
      </c>
      <c r="L1179">
        <v>0</v>
      </c>
    </row>
    <row r="1180" spans="1:12" x14ac:dyDescent="0.25">
      <c r="A1180" t="str">
        <f t="shared" si="18"/>
        <v>2002001424702026M02</v>
      </c>
      <c r="B1180">
        <v>51321001</v>
      </c>
      <c r="C1180">
        <v>14</v>
      </c>
      <c r="D1180">
        <v>200200</v>
      </c>
      <c r="E1180">
        <v>142470</v>
      </c>
      <c r="F1180" t="s">
        <v>115</v>
      </c>
      <c r="G1180" t="s">
        <v>64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x14ac:dyDescent="0.25">
      <c r="A1181" t="str">
        <f t="shared" si="18"/>
        <v>2002001424702026M03</v>
      </c>
      <c r="B1181">
        <v>51321001</v>
      </c>
      <c r="C1181">
        <v>14</v>
      </c>
      <c r="D1181">
        <v>200200</v>
      </c>
      <c r="E1181">
        <v>142470</v>
      </c>
      <c r="F1181" t="s">
        <v>115</v>
      </c>
      <c r="G1181" t="s">
        <v>65</v>
      </c>
      <c r="H1181">
        <v>0</v>
      </c>
      <c r="I1181">
        <v>0</v>
      </c>
      <c r="J1181">
        <v>0</v>
      </c>
      <c r="K1181">
        <v>0</v>
      </c>
      <c r="L1181">
        <v>0</v>
      </c>
    </row>
    <row r="1182" spans="1:12" x14ac:dyDescent="0.25">
      <c r="A1182" t="str">
        <f t="shared" si="18"/>
        <v>2002001424702026M04</v>
      </c>
      <c r="B1182">
        <v>51321001</v>
      </c>
      <c r="C1182">
        <v>14</v>
      </c>
      <c r="D1182">
        <v>200200</v>
      </c>
      <c r="E1182">
        <v>142470</v>
      </c>
      <c r="F1182" t="s">
        <v>115</v>
      </c>
      <c r="G1182" t="s">
        <v>66</v>
      </c>
      <c r="H1182">
        <v>0</v>
      </c>
      <c r="I1182">
        <v>0</v>
      </c>
      <c r="J1182">
        <v>0</v>
      </c>
      <c r="K1182">
        <v>0</v>
      </c>
      <c r="L1182">
        <v>0</v>
      </c>
    </row>
    <row r="1183" spans="1:12" x14ac:dyDescent="0.25">
      <c r="A1183" t="str">
        <f t="shared" si="18"/>
        <v>2002001424702026M05</v>
      </c>
      <c r="B1183">
        <v>51321001</v>
      </c>
      <c r="C1183">
        <v>14</v>
      </c>
      <c r="D1183">
        <v>200200</v>
      </c>
      <c r="E1183">
        <v>142470</v>
      </c>
      <c r="F1183" t="s">
        <v>115</v>
      </c>
      <c r="G1183" t="s">
        <v>67</v>
      </c>
      <c r="H1183">
        <v>0</v>
      </c>
      <c r="I1183">
        <v>0</v>
      </c>
      <c r="J1183">
        <v>0</v>
      </c>
      <c r="K1183">
        <v>0</v>
      </c>
      <c r="L1183">
        <v>0</v>
      </c>
    </row>
    <row r="1184" spans="1:12" x14ac:dyDescent="0.25">
      <c r="A1184" t="str">
        <f t="shared" si="18"/>
        <v>2002001424702026M06</v>
      </c>
      <c r="B1184">
        <v>51321001</v>
      </c>
      <c r="C1184">
        <v>14</v>
      </c>
      <c r="D1184">
        <v>200200</v>
      </c>
      <c r="E1184">
        <v>142470</v>
      </c>
      <c r="F1184" t="s">
        <v>115</v>
      </c>
      <c r="G1184" t="s">
        <v>68</v>
      </c>
      <c r="H1184">
        <v>34796.85</v>
      </c>
      <c r="I1184">
        <v>34796.85</v>
      </c>
      <c r="J1184">
        <v>0</v>
      </c>
      <c r="K1184">
        <v>0</v>
      </c>
      <c r="L1184">
        <v>0</v>
      </c>
    </row>
    <row r="1185" spans="1:12" x14ac:dyDescent="0.25">
      <c r="A1185" t="str">
        <f t="shared" si="18"/>
        <v>2002001424702026M07</v>
      </c>
      <c r="B1185">
        <v>51321001</v>
      </c>
      <c r="C1185">
        <v>14</v>
      </c>
      <c r="D1185">
        <v>200200</v>
      </c>
      <c r="E1185">
        <v>142470</v>
      </c>
      <c r="F1185" t="s">
        <v>115</v>
      </c>
      <c r="G1185" t="s">
        <v>69</v>
      </c>
      <c r="H1185">
        <v>0</v>
      </c>
      <c r="I1185">
        <v>0</v>
      </c>
      <c r="J1185">
        <v>0</v>
      </c>
      <c r="K1185">
        <v>0</v>
      </c>
      <c r="L1185">
        <v>0</v>
      </c>
    </row>
    <row r="1186" spans="1:12" x14ac:dyDescent="0.25">
      <c r="A1186" t="str">
        <f t="shared" si="18"/>
        <v>2002001424702026M08</v>
      </c>
      <c r="B1186">
        <v>51321001</v>
      </c>
      <c r="C1186">
        <v>14</v>
      </c>
      <c r="D1186">
        <v>200200</v>
      </c>
      <c r="E1186">
        <v>142470</v>
      </c>
      <c r="F1186" t="s">
        <v>115</v>
      </c>
      <c r="G1186" t="s">
        <v>70</v>
      </c>
      <c r="H1186">
        <v>0</v>
      </c>
      <c r="I1186">
        <v>0</v>
      </c>
      <c r="J1186">
        <v>0</v>
      </c>
      <c r="K1186">
        <v>0</v>
      </c>
      <c r="L1186">
        <v>0</v>
      </c>
    </row>
    <row r="1187" spans="1:12" x14ac:dyDescent="0.25">
      <c r="A1187" t="str">
        <f t="shared" si="18"/>
        <v>2002001424702026M09</v>
      </c>
      <c r="B1187">
        <v>51321001</v>
      </c>
      <c r="C1187">
        <v>14</v>
      </c>
      <c r="D1187">
        <v>200200</v>
      </c>
      <c r="E1187">
        <v>142470</v>
      </c>
      <c r="F1187" t="s">
        <v>115</v>
      </c>
      <c r="G1187" t="s">
        <v>71</v>
      </c>
      <c r="H1187">
        <v>20878.11</v>
      </c>
      <c r="I1187">
        <v>20878.11</v>
      </c>
      <c r="J1187">
        <v>0</v>
      </c>
      <c r="K1187">
        <v>0</v>
      </c>
      <c r="L1187">
        <v>0</v>
      </c>
    </row>
    <row r="1188" spans="1:12" x14ac:dyDescent="0.25">
      <c r="A1188" t="str">
        <f t="shared" si="18"/>
        <v>2002001424702026M10</v>
      </c>
      <c r="B1188">
        <v>51321001</v>
      </c>
      <c r="C1188">
        <v>14</v>
      </c>
      <c r="D1188">
        <v>200200</v>
      </c>
      <c r="E1188">
        <v>142470</v>
      </c>
      <c r="F1188" t="s">
        <v>115</v>
      </c>
      <c r="G1188" t="s">
        <v>72</v>
      </c>
      <c r="H1188">
        <v>6965.04</v>
      </c>
      <c r="I1188">
        <v>0</v>
      </c>
      <c r="J1188">
        <v>6965.04</v>
      </c>
      <c r="K1188">
        <v>0</v>
      </c>
      <c r="L1188">
        <v>0</v>
      </c>
    </row>
    <row r="1189" spans="1:12" x14ac:dyDescent="0.25">
      <c r="A1189" t="str">
        <f t="shared" si="18"/>
        <v>2002001424702026M11</v>
      </c>
      <c r="B1189">
        <v>51321001</v>
      </c>
      <c r="C1189">
        <v>14</v>
      </c>
      <c r="D1189">
        <v>200200</v>
      </c>
      <c r="E1189">
        <v>142470</v>
      </c>
      <c r="F1189" t="s">
        <v>115</v>
      </c>
      <c r="G1189" t="s">
        <v>73</v>
      </c>
      <c r="H1189">
        <v>6960</v>
      </c>
      <c r="I1189">
        <v>0</v>
      </c>
      <c r="J1189">
        <v>6960</v>
      </c>
      <c r="K1189">
        <v>0</v>
      </c>
      <c r="L1189">
        <v>0</v>
      </c>
    </row>
    <row r="1190" spans="1:12" x14ac:dyDescent="0.25">
      <c r="A1190" t="str">
        <f t="shared" si="18"/>
        <v>2002001424702026M12</v>
      </c>
      <c r="B1190">
        <v>51321001</v>
      </c>
      <c r="C1190">
        <v>14</v>
      </c>
      <c r="D1190">
        <v>200200</v>
      </c>
      <c r="E1190">
        <v>142470</v>
      </c>
      <c r="F1190" t="s">
        <v>115</v>
      </c>
      <c r="G1190" t="s">
        <v>74</v>
      </c>
      <c r="H1190">
        <v>13915.13</v>
      </c>
      <c r="I1190">
        <v>0</v>
      </c>
      <c r="J1190">
        <v>13915.13</v>
      </c>
      <c r="K1190">
        <v>0</v>
      </c>
      <c r="L1190">
        <v>0</v>
      </c>
    </row>
    <row r="1191" spans="1:12" x14ac:dyDescent="0.25">
      <c r="A1191" t="str">
        <f t="shared" si="18"/>
        <v>2002001424742026M02</v>
      </c>
      <c r="B1191">
        <v>51321001</v>
      </c>
      <c r="C1191">
        <v>14</v>
      </c>
      <c r="D1191">
        <v>200200</v>
      </c>
      <c r="E1191">
        <v>142474</v>
      </c>
      <c r="F1191" t="s">
        <v>115</v>
      </c>
      <c r="G1191" t="s">
        <v>64</v>
      </c>
      <c r="H1191">
        <v>4669</v>
      </c>
      <c r="I1191">
        <v>4669</v>
      </c>
      <c r="J1191">
        <v>0</v>
      </c>
      <c r="K1191">
        <v>0</v>
      </c>
      <c r="L1191">
        <v>0</v>
      </c>
    </row>
    <row r="1192" spans="1:12" x14ac:dyDescent="0.25">
      <c r="A1192" t="str">
        <f t="shared" si="18"/>
        <v>2002001424742026M03</v>
      </c>
      <c r="B1192">
        <v>51321001</v>
      </c>
      <c r="C1192">
        <v>14</v>
      </c>
      <c r="D1192">
        <v>200200</v>
      </c>
      <c r="E1192">
        <v>142474</v>
      </c>
      <c r="F1192" t="s">
        <v>115</v>
      </c>
      <c r="G1192" t="s">
        <v>65</v>
      </c>
      <c r="H1192">
        <v>4669</v>
      </c>
      <c r="I1192">
        <v>4669</v>
      </c>
      <c r="J1192">
        <v>0</v>
      </c>
      <c r="K1192">
        <v>0</v>
      </c>
      <c r="L1192">
        <v>0</v>
      </c>
    </row>
    <row r="1193" spans="1:12" x14ac:dyDescent="0.25">
      <c r="A1193" t="str">
        <f t="shared" si="18"/>
        <v>2002001424742026M04</v>
      </c>
      <c r="B1193">
        <v>51321001</v>
      </c>
      <c r="C1193">
        <v>14</v>
      </c>
      <c r="D1193">
        <v>200200</v>
      </c>
      <c r="E1193">
        <v>142474</v>
      </c>
      <c r="F1193" t="s">
        <v>115</v>
      </c>
      <c r="G1193" t="s">
        <v>66</v>
      </c>
      <c r="H1193">
        <v>4669</v>
      </c>
      <c r="I1193">
        <v>4669</v>
      </c>
      <c r="J1193">
        <v>0</v>
      </c>
      <c r="K1193">
        <v>0</v>
      </c>
      <c r="L1193">
        <v>0</v>
      </c>
    </row>
    <row r="1194" spans="1:12" x14ac:dyDescent="0.25">
      <c r="A1194" t="str">
        <f t="shared" si="18"/>
        <v>2002001424742026M05</v>
      </c>
      <c r="B1194">
        <v>51321001</v>
      </c>
      <c r="C1194">
        <v>14</v>
      </c>
      <c r="D1194">
        <v>200200</v>
      </c>
      <c r="E1194">
        <v>142474</v>
      </c>
      <c r="F1194" t="s">
        <v>115</v>
      </c>
      <c r="G1194" t="s">
        <v>67</v>
      </c>
      <c r="H1194">
        <v>4669</v>
      </c>
      <c r="I1194">
        <v>4669</v>
      </c>
      <c r="J1194">
        <v>0</v>
      </c>
      <c r="K1194">
        <v>0</v>
      </c>
      <c r="L1194">
        <v>0</v>
      </c>
    </row>
    <row r="1195" spans="1:12" x14ac:dyDescent="0.25">
      <c r="A1195" t="str">
        <f t="shared" si="18"/>
        <v>2002001424742026M06</v>
      </c>
      <c r="B1195">
        <v>51321001</v>
      </c>
      <c r="C1195">
        <v>14</v>
      </c>
      <c r="D1195">
        <v>200200</v>
      </c>
      <c r="E1195">
        <v>142474</v>
      </c>
      <c r="F1195" t="s">
        <v>115</v>
      </c>
      <c r="G1195" t="s">
        <v>68</v>
      </c>
      <c r="H1195">
        <v>4669</v>
      </c>
      <c r="I1195">
        <v>4669</v>
      </c>
      <c r="J1195">
        <v>0</v>
      </c>
      <c r="K1195">
        <v>0</v>
      </c>
      <c r="L1195">
        <v>0</v>
      </c>
    </row>
    <row r="1196" spans="1:12" x14ac:dyDescent="0.25">
      <c r="A1196" t="str">
        <f t="shared" si="18"/>
        <v>2002001424742026M07</v>
      </c>
      <c r="B1196">
        <v>51321001</v>
      </c>
      <c r="C1196">
        <v>14</v>
      </c>
      <c r="D1196">
        <v>200200</v>
      </c>
      <c r="E1196">
        <v>142474</v>
      </c>
      <c r="F1196" t="s">
        <v>115</v>
      </c>
      <c r="G1196" t="s">
        <v>69</v>
      </c>
      <c r="H1196">
        <v>4669</v>
      </c>
      <c r="I1196">
        <v>4669</v>
      </c>
      <c r="J1196">
        <v>0</v>
      </c>
      <c r="K1196">
        <v>0</v>
      </c>
      <c r="L1196">
        <v>0</v>
      </c>
    </row>
    <row r="1197" spans="1:12" x14ac:dyDescent="0.25">
      <c r="A1197" t="str">
        <f t="shared" si="18"/>
        <v>2002001424742026M08</v>
      </c>
      <c r="B1197">
        <v>51321001</v>
      </c>
      <c r="C1197">
        <v>14</v>
      </c>
      <c r="D1197">
        <v>200200</v>
      </c>
      <c r="E1197">
        <v>142474</v>
      </c>
      <c r="F1197" t="s">
        <v>115</v>
      </c>
      <c r="G1197" t="s">
        <v>70</v>
      </c>
      <c r="H1197">
        <v>4669</v>
      </c>
      <c r="I1197">
        <v>4669</v>
      </c>
      <c r="J1197">
        <v>0</v>
      </c>
      <c r="K1197">
        <v>0</v>
      </c>
      <c r="L1197">
        <v>0</v>
      </c>
    </row>
    <row r="1198" spans="1:12" x14ac:dyDescent="0.25">
      <c r="A1198" t="str">
        <f t="shared" si="18"/>
        <v>2002001424742026M09</v>
      </c>
      <c r="B1198">
        <v>51321001</v>
      </c>
      <c r="C1198">
        <v>14</v>
      </c>
      <c r="D1198">
        <v>200200</v>
      </c>
      <c r="E1198">
        <v>142474</v>
      </c>
      <c r="F1198" t="s">
        <v>115</v>
      </c>
      <c r="G1198" t="s">
        <v>71</v>
      </c>
      <c r="H1198">
        <v>4669</v>
      </c>
      <c r="I1198">
        <v>4669</v>
      </c>
      <c r="J1198">
        <v>0</v>
      </c>
      <c r="K1198">
        <v>0</v>
      </c>
      <c r="L1198">
        <v>0</v>
      </c>
    </row>
    <row r="1199" spans="1:12" x14ac:dyDescent="0.25">
      <c r="A1199" t="str">
        <f t="shared" si="18"/>
        <v>2002001424742026M10</v>
      </c>
      <c r="B1199">
        <v>51321001</v>
      </c>
      <c r="C1199">
        <v>14</v>
      </c>
      <c r="D1199">
        <v>200200</v>
      </c>
      <c r="E1199">
        <v>142474</v>
      </c>
      <c r="F1199" t="s">
        <v>115</v>
      </c>
      <c r="G1199" t="s">
        <v>72</v>
      </c>
      <c r="H1199">
        <v>20543.599999999999</v>
      </c>
      <c r="I1199">
        <v>0</v>
      </c>
      <c r="J1199">
        <v>20076.7</v>
      </c>
      <c r="K1199">
        <v>0</v>
      </c>
      <c r="L1199">
        <v>466.9</v>
      </c>
    </row>
    <row r="1200" spans="1:12" x14ac:dyDescent="0.25">
      <c r="A1200" t="str">
        <f t="shared" si="18"/>
        <v>2002001424742026M11</v>
      </c>
      <c r="B1200">
        <v>51321001</v>
      </c>
      <c r="C1200">
        <v>14</v>
      </c>
      <c r="D1200">
        <v>200200</v>
      </c>
      <c r="E1200">
        <v>142474</v>
      </c>
      <c r="F1200" t="s">
        <v>115</v>
      </c>
      <c r="G1200" t="s">
        <v>73</v>
      </c>
      <c r="H1200">
        <v>5135.8999999999996</v>
      </c>
      <c r="I1200">
        <v>0</v>
      </c>
      <c r="J1200">
        <v>0</v>
      </c>
      <c r="K1200">
        <v>0</v>
      </c>
      <c r="L1200">
        <v>5135.8999999999996</v>
      </c>
    </row>
    <row r="1201" spans="1:12" x14ac:dyDescent="0.25">
      <c r="A1201" t="str">
        <f t="shared" si="18"/>
        <v>2002001424742026M12</v>
      </c>
      <c r="B1201">
        <v>51321001</v>
      </c>
      <c r="C1201">
        <v>14</v>
      </c>
      <c r="D1201">
        <v>200200</v>
      </c>
      <c r="E1201">
        <v>142474</v>
      </c>
      <c r="F1201" t="s">
        <v>115</v>
      </c>
      <c r="G1201" t="s">
        <v>74</v>
      </c>
      <c r="H1201">
        <v>10271.799999999999</v>
      </c>
      <c r="I1201">
        <v>0</v>
      </c>
      <c r="J1201">
        <v>0</v>
      </c>
      <c r="K1201">
        <v>0</v>
      </c>
      <c r="L1201">
        <v>10271.799999999999</v>
      </c>
    </row>
    <row r="1202" spans="1:12" x14ac:dyDescent="0.25">
      <c r="A1202" t="str">
        <f t="shared" si="18"/>
        <v>2002001424862026M02</v>
      </c>
      <c r="B1202">
        <v>51321001</v>
      </c>
      <c r="C1202">
        <v>14</v>
      </c>
      <c r="D1202">
        <v>200200</v>
      </c>
      <c r="E1202">
        <v>142486</v>
      </c>
      <c r="F1202" t="s">
        <v>115</v>
      </c>
      <c r="G1202" t="s">
        <v>64</v>
      </c>
      <c r="H1202">
        <v>8700</v>
      </c>
      <c r="I1202">
        <v>8700</v>
      </c>
      <c r="J1202">
        <v>0</v>
      </c>
      <c r="K1202">
        <v>0</v>
      </c>
      <c r="L1202">
        <v>0</v>
      </c>
    </row>
    <row r="1203" spans="1:12" x14ac:dyDescent="0.25">
      <c r="A1203" t="str">
        <f t="shared" si="18"/>
        <v>2002001424862026M03</v>
      </c>
      <c r="B1203">
        <v>51321001</v>
      </c>
      <c r="C1203">
        <v>14</v>
      </c>
      <c r="D1203">
        <v>200200</v>
      </c>
      <c r="E1203">
        <v>142486</v>
      </c>
      <c r="F1203" t="s">
        <v>115</v>
      </c>
      <c r="G1203" t="s">
        <v>65</v>
      </c>
      <c r="H1203">
        <v>8700</v>
      </c>
      <c r="I1203">
        <v>8700</v>
      </c>
      <c r="J1203">
        <v>0</v>
      </c>
      <c r="K1203">
        <v>0</v>
      </c>
      <c r="L1203">
        <v>0</v>
      </c>
    </row>
    <row r="1204" spans="1:12" x14ac:dyDescent="0.25">
      <c r="A1204" t="str">
        <f t="shared" si="18"/>
        <v>2002001424862026M04</v>
      </c>
      <c r="B1204">
        <v>51321001</v>
      </c>
      <c r="C1204">
        <v>14</v>
      </c>
      <c r="D1204">
        <v>200200</v>
      </c>
      <c r="E1204">
        <v>142486</v>
      </c>
      <c r="F1204" t="s">
        <v>115</v>
      </c>
      <c r="G1204" t="s">
        <v>66</v>
      </c>
      <c r="H1204">
        <v>8700</v>
      </c>
      <c r="I1204">
        <v>8700</v>
      </c>
      <c r="J1204">
        <v>0</v>
      </c>
      <c r="K1204">
        <v>0</v>
      </c>
      <c r="L1204">
        <v>0</v>
      </c>
    </row>
    <row r="1205" spans="1:12" x14ac:dyDescent="0.25">
      <c r="A1205" t="str">
        <f t="shared" si="18"/>
        <v>2002001424862026M05</v>
      </c>
      <c r="B1205">
        <v>51321001</v>
      </c>
      <c r="C1205">
        <v>14</v>
      </c>
      <c r="D1205">
        <v>200200</v>
      </c>
      <c r="E1205">
        <v>142486</v>
      </c>
      <c r="F1205" t="s">
        <v>115</v>
      </c>
      <c r="G1205" t="s">
        <v>67</v>
      </c>
      <c r="H1205">
        <v>8700</v>
      </c>
      <c r="I1205">
        <v>8700</v>
      </c>
      <c r="J1205">
        <v>0</v>
      </c>
      <c r="K1205">
        <v>0</v>
      </c>
      <c r="L1205">
        <v>0</v>
      </c>
    </row>
    <row r="1206" spans="1:12" x14ac:dyDescent="0.25">
      <c r="A1206" t="str">
        <f t="shared" si="18"/>
        <v>2002001424862026M06</v>
      </c>
      <c r="B1206">
        <v>51321001</v>
      </c>
      <c r="C1206">
        <v>14</v>
      </c>
      <c r="D1206">
        <v>200200</v>
      </c>
      <c r="E1206">
        <v>142486</v>
      </c>
      <c r="F1206" t="s">
        <v>115</v>
      </c>
      <c r="G1206" t="s">
        <v>68</v>
      </c>
      <c r="H1206">
        <v>8700</v>
      </c>
      <c r="I1206">
        <v>8700</v>
      </c>
      <c r="J1206">
        <v>0</v>
      </c>
      <c r="K1206">
        <v>0</v>
      </c>
      <c r="L1206">
        <v>0</v>
      </c>
    </row>
    <row r="1207" spans="1:12" x14ac:dyDescent="0.25">
      <c r="A1207" t="str">
        <f t="shared" si="18"/>
        <v>2002001424862026M07</v>
      </c>
      <c r="B1207">
        <v>51321001</v>
      </c>
      <c r="C1207">
        <v>14</v>
      </c>
      <c r="D1207">
        <v>200200</v>
      </c>
      <c r="E1207">
        <v>142486</v>
      </c>
      <c r="F1207" t="s">
        <v>115</v>
      </c>
      <c r="G1207" t="s">
        <v>69</v>
      </c>
      <c r="H1207">
        <v>8700</v>
      </c>
      <c r="I1207">
        <v>8700</v>
      </c>
      <c r="J1207">
        <v>0</v>
      </c>
      <c r="K1207">
        <v>0</v>
      </c>
      <c r="L1207">
        <v>0</v>
      </c>
    </row>
    <row r="1208" spans="1:12" x14ac:dyDescent="0.25">
      <c r="A1208" t="str">
        <f t="shared" si="18"/>
        <v>2002001424862026M08</v>
      </c>
      <c r="B1208">
        <v>51321001</v>
      </c>
      <c r="C1208">
        <v>14</v>
      </c>
      <c r="D1208">
        <v>200200</v>
      </c>
      <c r="E1208">
        <v>142486</v>
      </c>
      <c r="F1208" t="s">
        <v>115</v>
      </c>
      <c r="G1208" t="s">
        <v>70</v>
      </c>
      <c r="H1208">
        <v>8700</v>
      </c>
      <c r="I1208">
        <v>8700</v>
      </c>
      <c r="J1208">
        <v>0</v>
      </c>
      <c r="K1208">
        <v>0</v>
      </c>
      <c r="L1208">
        <v>0</v>
      </c>
    </row>
    <row r="1209" spans="1:12" x14ac:dyDescent="0.25">
      <c r="A1209" t="str">
        <f t="shared" si="18"/>
        <v>2002001424862026M09</v>
      </c>
      <c r="B1209">
        <v>51321001</v>
      </c>
      <c r="C1209">
        <v>14</v>
      </c>
      <c r="D1209">
        <v>200200</v>
      </c>
      <c r="E1209">
        <v>142486</v>
      </c>
      <c r="F1209" t="s">
        <v>115</v>
      </c>
      <c r="G1209" t="s">
        <v>71</v>
      </c>
      <c r="H1209">
        <v>8700</v>
      </c>
      <c r="I1209">
        <v>8700</v>
      </c>
      <c r="J1209">
        <v>0</v>
      </c>
      <c r="K1209">
        <v>0</v>
      </c>
      <c r="L1209">
        <v>0</v>
      </c>
    </row>
    <row r="1210" spans="1:12" x14ac:dyDescent="0.25">
      <c r="A1210" t="str">
        <f t="shared" si="18"/>
        <v>2002001424862026M10</v>
      </c>
      <c r="B1210">
        <v>51321001</v>
      </c>
      <c r="C1210">
        <v>14</v>
      </c>
      <c r="D1210">
        <v>200200</v>
      </c>
      <c r="E1210">
        <v>142486</v>
      </c>
      <c r="F1210" t="s">
        <v>115</v>
      </c>
      <c r="G1210" t="s">
        <v>72</v>
      </c>
      <c r="H1210">
        <v>8700</v>
      </c>
      <c r="I1210">
        <v>8700</v>
      </c>
      <c r="J1210">
        <v>0</v>
      </c>
      <c r="K1210">
        <v>0</v>
      </c>
      <c r="L1210">
        <v>0</v>
      </c>
    </row>
    <row r="1211" spans="1:12" x14ac:dyDescent="0.25">
      <c r="A1211" t="str">
        <f t="shared" si="18"/>
        <v>2002001424862026M11</v>
      </c>
      <c r="B1211">
        <v>51321001</v>
      </c>
      <c r="C1211">
        <v>14</v>
      </c>
      <c r="D1211">
        <v>200200</v>
      </c>
      <c r="E1211">
        <v>142486</v>
      </c>
      <c r="F1211" t="s">
        <v>115</v>
      </c>
      <c r="G1211" t="s">
        <v>73</v>
      </c>
      <c r="H1211">
        <v>8700</v>
      </c>
      <c r="I1211">
        <v>0</v>
      </c>
      <c r="J1211">
        <v>8700</v>
      </c>
      <c r="K1211">
        <v>0</v>
      </c>
      <c r="L1211">
        <v>0</v>
      </c>
    </row>
    <row r="1212" spans="1:12" x14ac:dyDescent="0.25">
      <c r="A1212" t="str">
        <f t="shared" si="18"/>
        <v>2002001424862026M12</v>
      </c>
      <c r="B1212">
        <v>51321001</v>
      </c>
      <c r="C1212">
        <v>14</v>
      </c>
      <c r="D1212">
        <v>200200</v>
      </c>
      <c r="E1212">
        <v>142486</v>
      </c>
      <c r="F1212" t="s">
        <v>115</v>
      </c>
      <c r="G1212" t="s">
        <v>74</v>
      </c>
      <c r="H1212">
        <v>17400</v>
      </c>
      <c r="I1212">
        <v>0</v>
      </c>
      <c r="J1212">
        <v>17400</v>
      </c>
      <c r="K1212">
        <v>0</v>
      </c>
      <c r="L1212">
        <v>0</v>
      </c>
    </row>
    <row r="1213" spans="1:12" x14ac:dyDescent="0.25">
      <c r="A1213" t="str">
        <f t="shared" si="18"/>
        <v>2002001424872026M02</v>
      </c>
      <c r="B1213">
        <v>51321001</v>
      </c>
      <c r="C1213">
        <v>14</v>
      </c>
      <c r="D1213">
        <v>200200</v>
      </c>
      <c r="E1213">
        <v>142487</v>
      </c>
      <c r="F1213" t="s">
        <v>115</v>
      </c>
      <c r="G1213" t="s">
        <v>64</v>
      </c>
      <c r="H1213">
        <v>3656.32</v>
      </c>
      <c r="I1213">
        <v>3656.32</v>
      </c>
      <c r="J1213">
        <v>0</v>
      </c>
      <c r="K1213">
        <v>0</v>
      </c>
      <c r="L1213">
        <v>0</v>
      </c>
    </row>
    <row r="1214" spans="1:12" x14ac:dyDescent="0.25">
      <c r="A1214" t="str">
        <f t="shared" si="18"/>
        <v>2002001424872026M03</v>
      </c>
      <c r="B1214">
        <v>51321001</v>
      </c>
      <c r="C1214">
        <v>14</v>
      </c>
      <c r="D1214">
        <v>200200</v>
      </c>
      <c r="E1214">
        <v>142487</v>
      </c>
      <c r="F1214" t="s">
        <v>115</v>
      </c>
      <c r="G1214" t="s">
        <v>65</v>
      </c>
      <c r="H1214">
        <v>3656.32</v>
      </c>
      <c r="I1214">
        <v>3656.32</v>
      </c>
      <c r="J1214">
        <v>0</v>
      </c>
      <c r="K1214">
        <v>0</v>
      </c>
      <c r="L1214">
        <v>0</v>
      </c>
    </row>
    <row r="1215" spans="1:12" x14ac:dyDescent="0.25">
      <c r="A1215" t="str">
        <f t="shared" si="18"/>
        <v>2002001424872026M04</v>
      </c>
      <c r="B1215">
        <v>51321001</v>
      </c>
      <c r="C1215">
        <v>14</v>
      </c>
      <c r="D1215">
        <v>200200</v>
      </c>
      <c r="E1215">
        <v>142487</v>
      </c>
      <c r="F1215" t="s">
        <v>115</v>
      </c>
      <c r="G1215" t="s">
        <v>66</v>
      </c>
      <c r="H1215">
        <v>0</v>
      </c>
      <c r="I1215">
        <v>0</v>
      </c>
      <c r="J1215">
        <v>0</v>
      </c>
      <c r="K1215">
        <v>0</v>
      </c>
      <c r="L1215">
        <v>0</v>
      </c>
    </row>
    <row r="1216" spans="1:12" x14ac:dyDescent="0.25">
      <c r="A1216" t="str">
        <f t="shared" si="18"/>
        <v>2002001424872026M05</v>
      </c>
      <c r="B1216">
        <v>51321001</v>
      </c>
      <c r="C1216">
        <v>14</v>
      </c>
      <c r="D1216">
        <v>200200</v>
      </c>
      <c r="E1216">
        <v>142487</v>
      </c>
      <c r="F1216" t="s">
        <v>115</v>
      </c>
      <c r="G1216" t="s">
        <v>67</v>
      </c>
      <c r="H1216">
        <v>7312.64</v>
      </c>
      <c r="I1216">
        <v>7312.64</v>
      </c>
      <c r="J1216">
        <v>0</v>
      </c>
      <c r="K1216">
        <v>0</v>
      </c>
      <c r="L1216">
        <v>0</v>
      </c>
    </row>
    <row r="1217" spans="1:12" x14ac:dyDescent="0.25">
      <c r="A1217" t="str">
        <f t="shared" si="18"/>
        <v>2002001424872026M06</v>
      </c>
      <c r="B1217">
        <v>51321001</v>
      </c>
      <c r="C1217">
        <v>14</v>
      </c>
      <c r="D1217">
        <v>200200</v>
      </c>
      <c r="E1217">
        <v>142487</v>
      </c>
      <c r="F1217" t="s">
        <v>115</v>
      </c>
      <c r="G1217" t="s">
        <v>68</v>
      </c>
      <c r="H1217">
        <v>3656.32</v>
      </c>
      <c r="I1217">
        <v>3656.32</v>
      </c>
      <c r="J1217">
        <v>0</v>
      </c>
      <c r="K1217">
        <v>0</v>
      </c>
      <c r="L1217">
        <v>0</v>
      </c>
    </row>
    <row r="1218" spans="1:12" x14ac:dyDescent="0.25">
      <c r="A1218" t="str">
        <f t="shared" si="18"/>
        <v>2002001424872026M07</v>
      </c>
      <c r="B1218">
        <v>51321001</v>
      </c>
      <c r="C1218">
        <v>14</v>
      </c>
      <c r="D1218">
        <v>200200</v>
      </c>
      <c r="E1218">
        <v>142487</v>
      </c>
      <c r="F1218" t="s">
        <v>115</v>
      </c>
      <c r="G1218" t="s">
        <v>69</v>
      </c>
      <c r="H1218">
        <v>3656.32</v>
      </c>
      <c r="I1218">
        <v>3656.32</v>
      </c>
      <c r="J1218">
        <v>0</v>
      </c>
      <c r="K1218">
        <v>0</v>
      </c>
      <c r="L1218">
        <v>0</v>
      </c>
    </row>
    <row r="1219" spans="1:12" x14ac:dyDescent="0.25">
      <c r="A1219" t="str">
        <f t="shared" si="18"/>
        <v>2002001424872026M08</v>
      </c>
      <c r="B1219">
        <v>51321001</v>
      </c>
      <c r="C1219">
        <v>14</v>
      </c>
      <c r="D1219">
        <v>200200</v>
      </c>
      <c r="E1219">
        <v>142487</v>
      </c>
      <c r="F1219" t="s">
        <v>115</v>
      </c>
      <c r="G1219" t="s">
        <v>70</v>
      </c>
      <c r="H1219">
        <v>0</v>
      </c>
      <c r="I1219">
        <v>0</v>
      </c>
      <c r="J1219">
        <v>0</v>
      </c>
      <c r="K1219">
        <v>0</v>
      </c>
      <c r="L1219">
        <v>0</v>
      </c>
    </row>
    <row r="1220" spans="1:12" x14ac:dyDescent="0.25">
      <c r="A1220" t="str">
        <f t="shared" si="18"/>
        <v>2002001424872026M09</v>
      </c>
      <c r="B1220">
        <v>51321001</v>
      </c>
      <c r="C1220">
        <v>14</v>
      </c>
      <c r="D1220">
        <v>200200</v>
      </c>
      <c r="E1220">
        <v>142487</v>
      </c>
      <c r="F1220" t="s">
        <v>115</v>
      </c>
      <c r="G1220" t="s">
        <v>71</v>
      </c>
      <c r="H1220">
        <v>0</v>
      </c>
      <c r="I1220">
        <v>0</v>
      </c>
      <c r="J1220">
        <v>0</v>
      </c>
      <c r="K1220">
        <v>0</v>
      </c>
      <c r="L1220">
        <v>0</v>
      </c>
    </row>
    <row r="1221" spans="1:12" x14ac:dyDescent="0.25">
      <c r="A1221" t="str">
        <f t="shared" si="18"/>
        <v>2002001424872026M10</v>
      </c>
      <c r="B1221">
        <v>51321001</v>
      </c>
      <c r="C1221">
        <v>14</v>
      </c>
      <c r="D1221">
        <v>200200</v>
      </c>
      <c r="E1221">
        <v>142487</v>
      </c>
      <c r="F1221" t="s">
        <v>115</v>
      </c>
      <c r="G1221" t="s">
        <v>72</v>
      </c>
      <c r="H1221">
        <v>10975.08</v>
      </c>
      <c r="I1221">
        <v>0</v>
      </c>
      <c r="J1221">
        <v>10975.08</v>
      </c>
      <c r="K1221">
        <v>0</v>
      </c>
      <c r="L1221">
        <v>0</v>
      </c>
    </row>
    <row r="1222" spans="1:12" x14ac:dyDescent="0.25">
      <c r="A1222" t="str">
        <f t="shared" si="18"/>
        <v>2002001424872026M11</v>
      </c>
      <c r="B1222">
        <v>51321001</v>
      </c>
      <c r="C1222">
        <v>14</v>
      </c>
      <c r="D1222">
        <v>200200</v>
      </c>
      <c r="E1222">
        <v>142487</v>
      </c>
      <c r="F1222" t="s">
        <v>115</v>
      </c>
      <c r="G1222" t="s">
        <v>73</v>
      </c>
      <c r="H1222">
        <v>3657</v>
      </c>
      <c r="I1222">
        <v>0</v>
      </c>
      <c r="J1222">
        <v>3657</v>
      </c>
      <c r="K1222">
        <v>0</v>
      </c>
      <c r="L1222">
        <v>0</v>
      </c>
    </row>
    <row r="1223" spans="1:12" x14ac:dyDescent="0.25">
      <c r="A1223" t="str">
        <f t="shared" si="18"/>
        <v>2002001424872026M12</v>
      </c>
      <c r="B1223">
        <v>51321001</v>
      </c>
      <c r="C1223">
        <v>14</v>
      </c>
      <c r="D1223">
        <v>200200</v>
      </c>
      <c r="E1223">
        <v>142487</v>
      </c>
      <c r="F1223" t="s">
        <v>115</v>
      </c>
      <c r="G1223" t="s">
        <v>74</v>
      </c>
      <c r="H1223">
        <v>7305.84</v>
      </c>
      <c r="I1223">
        <v>0</v>
      </c>
      <c r="J1223">
        <v>7305.84</v>
      </c>
      <c r="K1223">
        <v>0</v>
      </c>
      <c r="L1223">
        <v>0</v>
      </c>
    </row>
    <row r="1224" spans="1:12" x14ac:dyDescent="0.25">
      <c r="A1224" t="str">
        <f t="shared" si="18"/>
        <v>2002001424882026M02</v>
      </c>
      <c r="B1224">
        <v>51321001</v>
      </c>
      <c r="C1224">
        <v>14</v>
      </c>
      <c r="D1224">
        <v>200200</v>
      </c>
      <c r="E1224">
        <v>142488</v>
      </c>
      <c r="F1224" t="s">
        <v>115</v>
      </c>
      <c r="G1224" t="s">
        <v>64</v>
      </c>
      <c r="H1224">
        <v>4872</v>
      </c>
      <c r="I1224">
        <v>4872</v>
      </c>
      <c r="J1224">
        <v>0</v>
      </c>
      <c r="K1224">
        <v>0</v>
      </c>
      <c r="L1224">
        <v>0</v>
      </c>
    </row>
    <row r="1225" spans="1:12" x14ac:dyDescent="0.25">
      <c r="A1225" t="str">
        <f t="shared" si="18"/>
        <v>2002001424882026M03</v>
      </c>
      <c r="B1225">
        <v>51321001</v>
      </c>
      <c r="C1225">
        <v>14</v>
      </c>
      <c r="D1225">
        <v>200200</v>
      </c>
      <c r="E1225">
        <v>142488</v>
      </c>
      <c r="F1225" t="s">
        <v>115</v>
      </c>
      <c r="G1225" t="s">
        <v>65</v>
      </c>
      <c r="H1225">
        <v>4872</v>
      </c>
      <c r="I1225">
        <v>4872</v>
      </c>
      <c r="J1225">
        <v>0</v>
      </c>
      <c r="K1225">
        <v>0</v>
      </c>
      <c r="L1225">
        <v>0</v>
      </c>
    </row>
    <row r="1226" spans="1:12" x14ac:dyDescent="0.25">
      <c r="A1226" t="str">
        <f t="shared" si="18"/>
        <v>2002001424882026M04</v>
      </c>
      <c r="B1226">
        <v>51321001</v>
      </c>
      <c r="C1226">
        <v>14</v>
      </c>
      <c r="D1226">
        <v>200200</v>
      </c>
      <c r="E1226">
        <v>142488</v>
      </c>
      <c r="F1226" t="s">
        <v>115</v>
      </c>
      <c r="G1226" t="s">
        <v>66</v>
      </c>
      <c r="H1226">
        <v>0</v>
      </c>
      <c r="I1226">
        <v>0</v>
      </c>
      <c r="J1226">
        <v>0</v>
      </c>
      <c r="K1226">
        <v>0</v>
      </c>
      <c r="L1226">
        <v>0</v>
      </c>
    </row>
    <row r="1227" spans="1:12" x14ac:dyDescent="0.25">
      <c r="A1227" t="str">
        <f t="shared" ref="A1227:A1290" si="19">D1227&amp;E1227&amp;G1227</f>
        <v>2002001424882026M05</v>
      </c>
      <c r="B1227">
        <v>51321001</v>
      </c>
      <c r="C1227">
        <v>14</v>
      </c>
      <c r="D1227">
        <v>200200</v>
      </c>
      <c r="E1227">
        <v>142488</v>
      </c>
      <c r="F1227" t="s">
        <v>115</v>
      </c>
      <c r="G1227" t="s">
        <v>67</v>
      </c>
      <c r="H1227">
        <v>9744</v>
      </c>
      <c r="I1227">
        <v>9744</v>
      </c>
      <c r="J1227">
        <v>0</v>
      </c>
      <c r="K1227">
        <v>0</v>
      </c>
      <c r="L1227">
        <v>0</v>
      </c>
    </row>
    <row r="1228" spans="1:12" x14ac:dyDescent="0.25">
      <c r="A1228" t="str">
        <f t="shared" si="19"/>
        <v>2002001424882026M06</v>
      </c>
      <c r="B1228">
        <v>51321001</v>
      </c>
      <c r="C1228">
        <v>14</v>
      </c>
      <c r="D1228">
        <v>200200</v>
      </c>
      <c r="E1228">
        <v>142488</v>
      </c>
      <c r="F1228" t="s">
        <v>115</v>
      </c>
      <c r="G1228" t="s">
        <v>68</v>
      </c>
      <c r="H1228">
        <v>4872</v>
      </c>
      <c r="I1228">
        <v>4872</v>
      </c>
      <c r="J1228">
        <v>0</v>
      </c>
      <c r="K1228">
        <v>0</v>
      </c>
      <c r="L1228">
        <v>0</v>
      </c>
    </row>
    <row r="1229" spans="1:12" x14ac:dyDescent="0.25">
      <c r="A1229" t="str">
        <f t="shared" si="19"/>
        <v>2002001424882026M07</v>
      </c>
      <c r="B1229">
        <v>51321001</v>
      </c>
      <c r="C1229">
        <v>14</v>
      </c>
      <c r="D1229">
        <v>200200</v>
      </c>
      <c r="E1229">
        <v>142488</v>
      </c>
      <c r="F1229" t="s">
        <v>115</v>
      </c>
      <c r="G1229" t="s">
        <v>69</v>
      </c>
      <c r="H1229">
        <v>4872</v>
      </c>
      <c r="I1229">
        <v>4872</v>
      </c>
      <c r="J1229">
        <v>0</v>
      </c>
      <c r="K1229">
        <v>0</v>
      </c>
      <c r="L1229">
        <v>0</v>
      </c>
    </row>
    <row r="1230" spans="1:12" x14ac:dyDescent="0.25">
      <c r="A1230" t="str">
        <f t="shared" si="19"/>
        <v>2002001424882026M08</v>
      </c>
      <c r="B1230">
        <v>51321001</v>
      </c>
      <c r="C1230">
        <v>14</v>
      </c>
      <c r="D1230">
        <v>200200</v>
      </c>
      <c r="E1230">
        <v>142488</v>
      </c>
      <c r="F1230" t="s">
        <v>115</v>
      </c>
      <c r="G1230" t="s">
        <v>70</v>
      </c>
      <c r="H1230">
        <v>4872</v>
      </c>
      <c r="I1230">
        <v>4872</v>
      </c>
      <c r="J1230">
        <v>0</v>
      </c>
      <c r="K1230">
        <v>0</v>
      </c>
      <c r="L1230">
        <v>0</v>
      </c>
    </row>
    <row r="1231" spans="1:12" x14ac:dyDescent="0.25">
      <c r="A1231" t="str">
        <f t="shared" si="19"/>
        <v>2002001424882026M09</v>
      </c>
      <c r="B1231">
        <v>51321001</v>
      </c>
      <c r="C1231">
        <v>14</v>
      </c>
      <c r="D1231">
        <v>200200</v>
      </c>
      <c r="E1231">
        <v>142488</v>
      </c>
      <c r="F1231" t="s">
        <v>115</v>
      </c>
      <c r="G1231" t="s">
        <v>71</v>
      </c>
      <c r="H1231">
        <v>4872</v>
      </c>
      <c r="I1231">
        <v>4872</v>
      </c>
      <c r="J1231">
        <v>0</v>
      </c>
      <c r="K1231">
        <v>0</v>
      </c>
      <c r="L1231">
        <v>0</v>
      </c>
    </row>
    <row r="1232" spans="1:12" x14ac:dyDescent="0.25">
      <c r="A1232" t="str">
        <f t="shared" si="19"/>
        <v>2002001424882026M10</v>
      </c>
      <c r="B1232">
        <v>51321001</v>
      </c>
      <c r="C1232">
        <v>14</v>
      </c>
      <c r="D1232">
        <v>200200</v>
      </c>
      <c r="E1232">
        <v>142488</v>
      </c>
      <c r="F1232" t="s">
        <v>115</v>
      </c>
      <c r="G1232" t="s">
        <v>72</v>
      </c>
      <c r="H1232">
        <v>4872</v>
      </c>
      <c r="I1232">
        <v>0</v>
      </c>
      <c r="J1232">
        <v>4872</v>
      </c>
      <c r="K1232">
        <v>0</v>
      </c>
      <c r="L1232">
        <v>0</v>
      </c>
    </row>
    <row r="1233" spans="1:12" x14ac:dyDescent="0.25">
      <c r="A1233" t="str">
        <f t="shared" si="19"/>
        <v>2002001424882026M11</v>
      </c>
      <c r="B1233">
        <v>51321001</v>
      </c>
      <c r="C1233">
        <v>14</v>
      </c>
      <c r="D1233">
        <v>200200</v>
      </c>
      <c r="E1233">
        <v>142488</v>
      </c>
      <c r="F1233" t="s">
        <v>115</v>
      </c>
      <c r="G1233" t="s">
        <v>73</v>
      </c>
      <c r="H1233">
        <v>4872</v>
      </c>
      <c r="I1233">
        <v>0</v>
      </c>
      <c r="J1233">
        <v>4872</v>
      </c>
      <c r="K1233">
        <v>0</v>
      </c>
      <c r="L1233">
        <v>0</v>
      </c>
    </row>
    <row r="1234" spans="1:12" x14ac:dyDescent="0.25">
      <c r="A1234" t="str">
        <f t="shared" si="19"/>
        <v>2002001424882026M12</v>
      </c>
      <c r="B1234">
        <v>51321001</v>
      </c>
      <c r="C1234">
        <v>14</v>
      </c>
      <c r="D1234">
        <v>200200</v>
      </c>
      <c r="E1234">
        <v>142488</v>
      </c>
      <c r="F1234" t="s">
        <v>115</v>
      </c>
      <c r="G1234" t="s">
        <v>74</v>
      </c>
      <c r="H1234">
        <v>9744</v>
      </c>
      <c r="I1234">
        <v>0</v>
      </c>
      <c r="J1234">
        <v>9744</v>
      </c>
      <c r="K1234">
        <v>0</v>
      </c>
      <c r="L1234">
        <v>0</v>
      </c>
    </row>
    <row r="1235" spans="1:12" x14ac:dyDescent="0.25">
      <c r="A1235" t="str">
        <f t="shared" si="19"/>
        <v>2002001424902026M02</v>
      </c>
      <c r="B1235">
        <v>51321001</v>
      </c>
      <c r="C1235">
        <v>14</v>
      </c>
      <c r="D1235">
        <v>200200</v>
      </c>
      <c r="E1235">
        <v>142490</v>
      </c>
      <c r="F1235" t="s">
        <v>115</v>
      </c>
      <c r="G1235" t="s">
        <v>64</v>
      </c>
      <c r="H1235">
        <v>9744</v>
      </c>
      <c r="I1235">
        <v>9744</v>
      </c>
      <c r="J1235">
        <v>0</v>
      </c>
      <c r="K1235">
        <v>0</v>
      </c>
      <c r="L1235">
        <v>0</v>
      </c>
    </row>
    <row r="1236" spans="1:12" x14ac:dyDescent="0.25">
      <c r="A1236" t="str">
        <f t="shared" si="19"/>
        <v>2002001424902026M03</v>
      </c>
      <c r="B1236">
        <v>51321001</v>
      </c>
      <c r="C1236">
        <v>14</v>
      </c>
      <c r="D1236">
        <v>200200</v>
      </c>
      <c r="E1236">
        <v>142490</v>
      </c>
      <c r="F1236" t="s">
        <v>115</v>
      </c>
      <c r="G1236" t="s">
        <v>65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25">
      <c r="A1237" t="str">
        <f t="shared" si="19"/>
        <v>2002001424902026M04</v>
      </c>
      <c r="B1237">
        <v>51321001</v>
      </c>
      <c r="C1237">
        <v>14</v>
      </c>
      <c r="D1237">
        <v>200200</v>
      </c>
      <c r="E1237">
        <v>142490</v>
      </c>
      <c r="F1237" t="s">
        <v>115</v>
      </c>
      <c r="G1237" t="s">
        <v>66</v>
      </c>
      <c r="H1237">
        <v>19488</v>
      </c>
      <c r="I1237">
        <v>19488</v>
      </c>
      <c r="J1237">
        <v>0</v>
      </c>
      <c r="K1237">
        <v>0</v>
      </c>
      <c r="L1237">
        <v>0</v>
      </c>
    </row>
    <row r="1238" spans="1:12" x14ac:dyDescent="0.25">
      <c r="A1238" t="str">
        <f t="shared" si="19"/>
        <v>2002001424902026M05</v>
      </c>
      <c r="B1238">
        <v>51321001</v>
      </c>
      <c r="C1238">
        <v>14</v>
      </c>
      <c r="D1238">
        <v>200200</v>
      </c>
      <c r="E1238">
        <v>142490</v>
      </c>
      <c r="F1238" t="s">
        <v>115</v>
      </c>
      <c r="G1238" t="s">
        <v>67</v>
      </c>
      <c r="H1238">
        <v>9744</v>
      </c>
      <c r="I1238">
        <v>9744</v>
      </c>
      <c r="J1238">
        <v>0</v>
      </c>
      <c r="K1238">
        <v>0</v>
      </c>
      <c r="L1238">
        <v>0</v>
      </c>
    </row>
    <row r="1239" spans="1:12" x14ac:dyDescent="0.25">
      <c r="A1239" t="str">
        <f t="shared" si="19"/>
        <v>2002001424902026M06</v>
      </c>
      <c r="B1239">
        <v>51321001</v>
      </c>
      <c r="C1239">
        <v>14</v>
      </c>
      <c r="D1239">
        <v>200200</v>
      </c>
      <c r="E1239">
        <v>142490</v>
      </c>
      <c r="F1239" t="s">
        <v>115</v>
      </c>
      <c r="G1239" t="s">
        <v>68</v>
      </c>
      <c r="H1239">
        <v>9744</v>
      </c>
      <c r="I1239">
        <v>9744</v>
      </c>
      <c r="J1239">
        <v>0</v>
      </c>
      <c r="K1239">
        <v>0</v>
      </c>
      <c r="L1239">
        <v>0</v>
      </c>
    </row>
    <row r="1240" spans="1:12" x14ac:dyDescent="0.25">
      <c r="A1240" t="str">
        <f t="shared" si="19"/>
        <v>2002001424902026M07</v>
      </c>
      <c r="B1240">
        <v>51321001</v>
      </c>
      <c r="C1240">
        <v>14</v>
      </c>
      <c r="D1240">
        <v>200200</v>
      </c>
      <c r="E1240">
        <v>142490</v>
      </c>
      <c r="F1240" t="s">
        <v>115</v>
      </c>
      <c r="G1240" t="s">
        <v>69</v>
      </c>
      <c r="H1240">
        <v>9744</v>
      </c>
      <c r="I1240">
        <v>9744</v>
      </c>
      <c r="J1240">
        <v>0</v>
      </c>
      <c r="K1240">
        <v>0</v>
      </c>
      <c r="L1240">
        <v>0</v>
      </c>
    </row>
    <row r="1241" spans="1:12" x14ac:dyDescent="0.25">
      <c r="A1241" t="str">
        <f t="shared" si="19"/>
        <v>2002001424902026M08</v>
      </c>
      <c r="B1241">
        <v>51321001</v>
      </c>
      <c r="C1241">
        <v>14</v>
      </c>
      <c r="D1241">
        <v>200200</v>
      </c>
      <c r="E1241">
        <v>142490</v>
      </c>
      <c r="F1241" t="s">
        <v>115</v>
      </c>
      <c r="G1241" t="s">
        <v>70</v>
      </c>
      <c r="H1241">
        <v>9744</v>
      </c>
      <c r="I1241">
        <v>9744</v>
      </c>
      <c r="J1241">
        <v>0</v>
      </c>
      <c r="K1241">
        <v>0</v>
      </c>
      <c r="L1241">
        <v>0</v>
      </c>
    </row>
    <row r="1242" spans="1:12" x14ac:dyDescent="0.25">
      <c r="A1242" t="str">
        <f t="shared" si="19"/>
        <v>2002001424902026M09</v>
      </c>
      <c r="B1242">
        <v>51321001</v>
      </c>
      <c r="C1242">
        <v>14</v>
      </c>
      <c r="D1242">
        <v>200200</v>
      </c>
      <c r="E1242">
        <v>142490</v>
      </c>
      <c r="F1242" t="s">
        <v>115</v>
      </c>
      <c r="G1242" t="s">
        <v>71</v>
      </c>
      <c r="H1242">
        <v>9744</v>
      </c>
      <c r="I1242">
        <v>9744</v>
      </c>
      <c r="J1242">
        <v>0</v>
      </c>
      <c r="K1242">
        <v>0</v>
      </c>
      <c r="L1242">
        <v>0</v>
      </c>
    </row>
    <row r="1243" spans="1:12" x14ac:dyDescent="0.25">
      <c r="A1243" t="str">
        <f t="shared" si="19"/>
        <v>2002001424902026M10</v>
      </c>
      <c r="B1243">
        <v>51321001</v>
      </c>
      <c r="C1243">
        <v>14</v>
      </c>
      <c r="D1243">
        <v>200200</v>
      </c>
      <c r="E1243">
        <v>142490</v>
      </c>
      <c r="F1243" t="s">
        <v>115</v>
      </c>
      <c r="G1243" t="s">
        <v>72</v>
      </c>
      <c r="H1243">
        <v>9744</v>
      </c>
      <c r="I1243">
        <v>0</v>
      </c>
      <c r="J1243">
        <v>9744</v>
      </c>
      <c r="K1243">
        <v>0</v>
      </c>
      <c r="L1243">
        <v>0</v>
      </c>
    </row>
    <row r="1244" spans="1:12" x14ac:dyDescent="0.25">
      <c r="A1244" t="str">
        <f t="shared" si="19"/>
        <v>2002001424902026M11</v>
      </c>
      <c r="B1244">
        <v>51321001</v>
      </c>
      <c r="C1244">
        <v>14</v>
      </c>
      <c r="D1244">
        <v>200200</v>
      </c>
      <c r="E1244">
        <v>142490</v>
      </c>
      <c r="F1244" t="s">
        <v>115</v>
      </c>
      <c r="G1244" t="s">
        <v>73</v>
      </c>
      <c r="H1244">
        <v>9744</v>
      </c>
      <c r="I1244">
        <v>0</v>
      </c>
      <c r="J1244">
        <v>9744</v>
      </c>
      <c r="K1244">
        <v>0</v>
      </c>
      <c r="L1244">
        <v>0</v>
      </c>
    </row>
    <row r="1245" spans="1:12" x14ac:dyDescent="0.25">
      <c r="A1245" t="str">
        <f t="shared" si="19"/>
        <v>2002001424902026M12</v>
      </c>
      <c r="B1245">
        <v>51321001</v>
      </c>
      <c r="C1245">
        <v>14</v>
      </c>
      <c r="D1245">
        <v>200200</v>
      </c>
      <c r="E1245">
        <v>142490</v>
      </c>
      <c r="F1245" t="s">
        <v>115</v>
      </c>
      <c r="G1245" t="s">
        <v>74</v>
      </c>
      <c r="H1245">
        <v>19488</v>
      </c>
      <c r="I1245">
        <v>0</v>
      </c>
      <c r="J1245">
        <v>19488</v>
      </c>
      <c r="K1245">
        <v>0</v>
      </c>
      <c r="L1245">
        <v>0</v>
      </c>
    </row>
    <row r="1246" spans="1:12" x14ac:dyDescent="0.25">
      <c r="A1246" t="str">
        <f t="shared" si="19"/>
        <v>2002001424912026M02</v>
      </c>
      <c r="B1246">
        <v>51321001</v>
      </c>
      <c r="C1246">
        <v>14</v>
      </c>
      <c r="D1246">
        <v>200200</v>
      </c>
      <c r="E1246">
        <v>142491</v>
      </c>
      <c r="F1246" t="s">
        <v>115</v>
      </c>
      <c r="G1246" t="s">
        <v>64</v>
      </c>
      <c r="H1246">
        <v>0</v>
      </c>
      <c r="I1246">
        <v>0</v>
      </c>
      <c r="J1246">
        <v>0</v>
      </c>
      <c r="K1246">
        <v>0</v>
      </c>
      <c r="L1246">
        <v>0</v>
      </c>
    </row>
    <row r="1247" spans="1:12" x14ac:dyDescent="0.25">
      <c r="A1247" t="str">
        <f t="shared" si="19"/>
        <v>2002001424912026M03</v>
      </c>
      <c r="B1247">
        <v>51321001</v>
      </c>
      <c r="C1247">
        <v>14</v>
      </c>
      <c r="D1247">
        <v>200200</v>
      </c>
      <c r="E1247">
        <v>142491</v>
      </c>
      <c r="F1247" t="s">
        <v>115</v>
      </c>
      <c r="G1247" t="s">
        <v>65</v>
      </c>
      <c r="H1247">
        <v>9873.68</v>
      </c>
      <c r="I1247">
        <v>9873.68</v>
      </c>
      <c r="J1247">
        <v>0</v>
      </c>
      <c r="K1247">
        <v>0</v>
      </c>
      <c r="L1247">
        <v>0</v>
      </c>
    </row>
    <row r="1248" spans="1:12" x14ac:dyDescent="0.25">
      <c r="A1248" t="str">
        <f t="shared" si="19"/>
        <v>2002001424912026M04</v>
      </c>
      <c r="B1248">
        <v>51321001</v>
      </c>
      <c r="C1248">
        <v>14</v>
      </c>
      <c r="D1248">
        <v>200200</v>
      </c>
      <c r="E1248">
        <v>142491</v>
      </c>
      <c r="F1248" t="s">
        <v>115</v>
      </c>
      <c r="G1248" t="s">
        <v>66</v>
      </c>
      <c r="H1248">
        <v>4936.84</v>
      </c>
      <c r="I1248">
        <v>4936.84</v>
      </c>
      <c r="J1248">
        <v>0</v>
      </c>
      <c r="K1248">
        <v>0</v>
      </c>
      <c r="L1248">
        <v>0</v>
      </c>
    </row>
    <row r="1249" spans="1:12" x14ac:dyDescent="0.25">
      <c r="A1249" t="str">
        <f t="shared" si="19"/>
        <v>2002001424912026M05</v>
      </c>
      <c r="B1249">
        <v>51321001</v>
      </c>
      <c r="C1249">
        <v>14</v>
      </c>
      <c r="D1249">
        <v>200200</v>
      </c>
      <c r="E1249">
        <v>142491</v>
      </c>
      <c r="F1249" t="s">
        <v>115</v>
      </c>
      <c r="G1249" t="s">
        <v>67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25">
      <c r="A1250" t="str">
        <f t="shared" si="19"/>
        <v>2002001424912026M06</v>
      </c>
      <c r="B1250">
        <v>51321001</v>
      </c>
      <c r="C1250">
        <v>14</v>
      </c>
      <c r="D1250">
        <v>200200</v>
      </c>
      <c r="E1250">
        <v>142491</v>
      </c>
      <c r="F1250" t="s">
        <v>115</v>
      </c>
      <c r="G1250" t="s">
        <v>68</v>
      </c>
      <c r="H1250">
        <v>9873.7999999999993</v>
      </c>
      <c r="I1250">
        <v>9873.7999999999993</v>
      </c>
      <c r="J1250">
        <v>0</v>
      </c>
      <c r="K1250">
        <v>0</v>
      </c>
      <c r="L1250">
        <v>0</v>
      </c>
    </row>
    <row r="1251" spans="1:12" x14ac:dyDescent="0.25">
      <c r="A1251" t="str">
        <f t="shared" si="19"/>
        <v>2002001424912026M07</v>
      </c>
      <c r="B1251">
        <v>51321001</v>
      </c>
      <c r="C1251">
        <v>14</v>
      </c>
      <c r="D1251">
        <v>200200</v>
      </c>
      <c r="E1251">
        <v>142491</v>
      </c>
      <c r="F1251" t="s">
        <v>115</v>
      </c>
      <c r="G1251" t="s">
        <v>69</v>
      </c>
      <c r="H1251">
        <v>4936.96</v>
      </c>
      <c r="I1251">
        <v>4936.96</v>
      </c>
      <c r="J1251">
        <v>0</v>
      </c>
      <c r="K1251">
        <v>0</v>
      </c>
      <c r="L1251">
        <v>0</v>
      </c>
    </row>
    <row r="1252" spans="1:12" x14ac:dyDescent="0.25">
      <c r="A1252" t="str">
        <f t="shared" si="19"/>
        <v>2002001424912026M08</v>
      </c>
      <c r="B1252">
        <v>51321001</v>
      </c>
      <c r="C1252">
        <v>14</v>
      </c>
      <c r="D1252">
        <v>200200</v>
      </c>
      <c r="E1252">
        <v>142491</v>
      </c>
      <c r="F1252" t="s">
        <v>115</v>
      </c>
      <c r="G1252" t="s">
        <v>70</v>
      </c>
      <c r="H1252">
        <v>4936.84</v>
      </c>
      <c r="I1252">
        <v>4936.84</v>
      </c>
      <c r="J1252">
        <v>0</v>
      </c>
      <c r="K1252">
        <v>0</v>
      </c>
      <c r="L1252">
        <v>0</v>
      </c>
    </row>
    <row r="1253" spans="1:12" x14ac:dyDescent="0.25">
      <c r="A1253" t="str">
        <f t="shared" si="19"/>
        <v>2002001424912026M09</v>
      </c>
      <c r="B1253">
        <v>51321001</v>
      </c>
      <c r="C1253">
        <v>14</v>
      </c>
      <c r="D1253">
        <v>200200</v>
      </c>
      <c r="E1253">
        <v>142491</v>
      </c>
      <c r="F1253" t="s">
        <v>115</v>
      </c>
      <c r="G1253" t="s">
        <v>71</v>
      </c>
      <c r="H1253">
        <v>4936.84</v>
      </c>
      <c r="I1253">
        <v>4936.84</v>
      </c>
      <c r="J1253">
        <v>0</v>
      </c>
      <c r="K1253">
        <v>0</v>
      </c>
      <c r="L1253">
        <v>0</v>
      </c>
    </row>
    <row r="1254" spans="1:12" x14ac:dyDescent="0.25">
      <c r="A1254" t="str">
        <f t="shared" si="19"/>
        <v>2002001424912026M10</v>
      </c>
      <c r="B1254">
        <v>51321001</v>
      </c>
      <c r="C1254">
        <v>14</v>
      </c>
      <c r="D1254">
        <v>200200</v>
      </c>
      <c r="E1254">
        <v>142491</v>
      </c>
      <c r="F1254" t="s">
        <v>115</v>
      </c>
      <c r="G1254" t="s">
        <v>72</v>
      </c>
      <c r="H1254">
        <v>4938.04</v>
      </c>
      <c r="I1254">
        <v>0</v>
      </c>
      <c r="J1254">
        <v>4938.04</v>
      </c>
      <c r="K1254">
        <v>0</v>
      </c>
      <c r="L1254">
        <v>0</v>
      </c>
    </row>
    <row r="1255" spans="1:12" x14ac:dyDescent="0.25">
      <c r="A1255" t="str">
        <f t="shared" si="19"/>
        <v>2002001424912026M11</v>
      </c>
      <c r="B1255">
        <v>51321001</v>
      </c>
      <c r="C1255">
        <v>14</v>
      </c>
      <c r="D1255">
        <v>200200</v>
      </c>
      <c r="E1255">
        <v>142491</v>
      </c>
      <c r="F1255" t="s">
        <v>115</v>
      </c>
      <c r="G1255" t="s">
        <v>73</v>
      </c>
      <c r="H1255">
        <v>4937</v>
      </c>
      <c r="I1255">
        <v>0</v>
      </c>
      <c r="J1255">
        <v>4937</v>
      </c>
      <c r="K1255">
        <v>0</v>
      </c>
      <c r="L1255">
        <v>0</v>
      </c>
    </row>
    <row r="1256" spans="1:12" x14ac:dyDescent="0.25">
      <c r="A1256" t="str">
        <f t="shared" si="19"/>
        <v>2002001424912026M12</v>
      </c>
      <c r="B1256">
        <v>51321001</v>
      </c>
      <c r="C1256">
        <v>14</v>
      </c>
      <c r="D1256">
        <v>200200</v>
      </c>
      <c r="E1256">
        <v>142491</v>
      </c>
      <c r="F1256" t="s">
        <v>115</v>
      </c>
      <c r="G1256" t="s">
        <v>74</v>
      </c>
      <c r="H1256">
        <v>9874</v>
      </c>
      <c r="I1256">
        <v>0</v>
      </c>
      <c r="J1256">
        <v>9873.52</v>
      </c>
      <c r="K1256">
        <v>0</v>
      </c>
      <c r="L1256">
        <v>0.48</v>
      </c>
    </row>
    <row r="1257" spans="1:12" x14ac:dyDescent="0.25">
      <c r="A1257" t="str">
        <f t="shared" si="19"/>
        <v>2002001426012026M02</v>
      </c>
      <c r="B1257">
        <v>51321001</v>
      </c>
      <c r="C1257">
        <v>14</v>
      </c>
      <c r="D1257">
        <v>200200</v>
      </c>
      <c r="E1257">
        <v>142601</v>
      </c>
      <c r="F1257" t="s">
        <v>115</v>
      </c>
      <c r="G1257" t="s">
        <v>64</v>
      </c>
      <c r="H1257">
        <v>0</v>
      </c>
      <c r="I1257">
        <v>0</v>
      </c>
      <c r="J1257">
        <v>0</v>
      </c>
      <c r="K1257">
        <v>0</v>
      </c>
      <c r="L1257">
        <v>0</v>
      </c>
    </row>
    <row r="1258" spans="1:12" x14ac:dyDescent="0.25">
      <c r="A1258" t="str">
        <f t="shared" si="19"/>
        <v>2002001426012026M03</v>
      </c>
      <c r="B1258">
        <v>51321001</v>
      </c>
      <c r="C1258">
        <v>14</v>
      </c>
      <c r="D1258">
        <v>200200</v>
      </c>
      <c r="E1258">
        <v>142601</v>
      </c>
      <c r="F1258" t="s">
        <v>115</v>
      </c>
      <c r="G1258" t="s">
        <v>65</v>
      </c>
      <c r="H1258">
        <v>46040.4</v>
      </c>
      <c r="I1258">
        <v>46040.4</v>
      </c>
      <c r="J1258">
        <v>0</v>
      </c>
      <c r="K1258">
        <v>0</v>
      </c>
      <c r="L1258">
        <v>0</v>
      </c>
    </row>
    <row r="1259" spans="1:12" x14ac:dyDescent="0.25">
      <c r="A1259" t="str">
        <f t="shared" si="19"/>
        <v>2002001426012026M04</v>
      </c>
      <c r="B1259">
        <v>51321001</v>
      </c>
      <c r="C1259">
        <v>14</v>
      </c>
      <c r="D1259">
        <v>200200</v>
      </c>
      <c r="E1259">
        <v>142601</v>
      </c>
      <c r="F1259" t="s">
        <v>115</v>
      </c>
      <c r="G1259" t="s">
        <v>66</v>
      </c>
      <c r="H1259">
        <v>0</v>
      </c>
      <c r="I1259">
        <v>0</v>
      </c>
      <c r="J1259">
        <v>0</v>
      </c>
      <c r="K1259">
        <v>0</v>
      </c>
      <c r="L1259">
        <v>0</v>
      </c>
    </row>
    <row r="1260" spans="1:12" x14ac:dyDescent="0.25">
      <c r="A1260" t="str">
        <f t="shared" si="19"/>
        <v>2002001426012026M05</v>
      </c>
      <c r="B1260">
        <v>51321001</v>
      </c>
      <c r="C1260">
        <v>14</v>
      </c>
      <c r="D1260">
        <v>200200</v>
      </c>
      <c r="E1260">
        <v>142601</v>
      </c>
      <c r="F1260" t="s">
        <v>115</v>
      </c>
      <c r="G1260" t="s">
        <v>67</v>
      </c>
      <c r="H1260">
        <v>0</v>
      </c>
      <c r="I1260">
        <v>0</v>
      </c>
      <c r="J1260">
        <v>0</v>
      </c>
      <c r="K1260">
        <v>0</v>
      </c>
      <c r="L1260">
        <v>0</v>
      </c>
    </row>
    <row r="1261" spans="1:12" x14ac:dyDescent="0.25">
      <c r="A1261" t="str">
        <f t="shared" si="19"/>
        <v>2002001426012026M06</v>
      </c>
      <c r="B1261">
        <v>51321001</v>
      </c>
      <c r="C1261">
        <v>14</v>
      </c>
      <c r="D1261">
        <v>200200</v>
      </c>
      <c r="E1261">
        <v>142601</v>
      </c>
      <c r="F1261" t="s">
        <v>115</v>
      </c>
      <c r="G1261" t="s">
        <v>68</v>
      </c>
      <c r="H1261">
        <v>69060.600000000006</v>
      </c>
      <c r="I1261">
        <v>69060.600000000006</v>
      </c>
      <c r="J1261">
        <v>0</v>
      </c>
      <c r="K1261">
        <v>0</v>
      </c>
      <c r="L1261">
        <v>0</v>
      </c>
    </row>
    <row r="1262" spans="1:12" x14ac:dyDescent="0.25">
      <c r="A1262" t="str">
        <f t="shared" si="19"/>
        <v>2002001426012026M07</v>
      </c>
      <c r="B1262">
        <v>51321001</v>
      </c>
      <c r="C1262">
        <v>14</v>
      </c>
      <c r="D1262">
        <v>200200</v>
      </c>
      <c r="E1262">
        <v>142601</v>
      </c>
      <c r="F1262" t="s">
        <v>115</v>
      </c>
      <c r="G1262" t="s">
        <v>69</v>
      </c>
      <c r="H1262">
        <v>0</v>
      </c>
      <c r="I1262">
        <v>0</v>
      </c>
      <c r="J1262">
        <v>0</v>
      </c>
      <c r="K1262">
        <v>0</v>
      </c>
      <c r="L1262">
        <v>0</v>
      </c>
    </row>
    <row r="1263" spans="1:12" x14ac:dyDescent="0.25">
      <c r="A1263" t="str">
        <f t="shared" si="19"/>
        <v>2002001426012026M08</v>
      </c>
      <c r="B1263">
        <v>51321001</v>
      </c>
      <c r="C1263">
        <v>14</v>
      </c>
      <c r="D1263">
        <v>200200</v>
      </c>
      <c r="E1263">
        <v>142601</v>
      </c>
      <c r="F1263" t="s">
        <v>115</v>
      </c>
      <c r="G1263" t="s">
        <v>70</v>
      </c>
      <c r="H1263">
        <v>46040.4</v>
      </c>
      <c r="I1263">
        <v>46040.4</v>
      </c>
      <c r="J1263">
        <v>0</v>
      </c>
      <c r="K1263">
        <v>0</v>
      </c>
      <c r="L1263">
        <v>0</v>
      </c>
    </row>
    <row r="1264" spans="1:12" x14ac:dyDescent="0.25">
      <c r="A1264" t="str">
        <f t="shared" si="19"/>
        <v>2002001426012026M09</v>
      </c>
      <c r="B1264">
        <v>51321001</v>
      </c>
      <c r="C1264">
        <v>14</v>
      </c>
      <c r="D1264">
        <v>200200</v>
      </c>
      <c r="E1264">
        <v>142601</v>
      </c>
      <c r="F1264" t="s">
        <v>115</v>
      </c>
      <c r="G1264" t="s">
        <v>71</v>
      </c>
      <c r="H1264">
        <v>23020.2</v>
      </c>
      <c r="I1264">
        <v>23020.2</v>
      </c>
      <c r="J1264">
        <v>0</v>
      </c>
      <c r="K1264">
        <v>0</v>
      </c>
      <c r="L1264">
        <v>0</v>
      </c>
    </row>
    <row r="1265" spans="1:12" x14ac:dyDescent="0.25">
      <c r="A1265" t="str">
        <f t="shared" si="19"/>
        <v>2002001426012026M10</v>
      </c>
      <c r="B1265">
        <v>51321001</v>
      </c>
      <c r="C1265">
        <v>14</v>
      </c>
      <c r="D1265">
        <v>200200</v>
      </c>
      <c r="E1265">
        <v>142601</v>
      </c>
      <c r="F1265" t="s">
        <v>115</v>
      </c>
      <c r="G1265" t="s">
        <v>72</v>
      </c>
      <c r="H1265">
        <v>23027.4</v>
      </c>
      <c r="I1265">
        <v>0</v>
      </c>
      <c r="J1265">
        <v>23027.4</v>
      </c>
      <c r="K1265">
        <v>0</v>
      </c>
      <c r="L1265">
        <v>0</v>
      </c>
    </row>
    <row r="1266" spans="1:12" x14ac:dyDescent="0.25">
      <c r="A1266" t="str">
        <f t="shared" si="19"/>
        <v>2002001426012026M11</v>
      </c>
      <c r="B1266">
        <v>51321001</v>
      </c>
      <c r="C1266">
        <v>14</v>
      </c>
      <c r="D1266">
        <v>200200</v>
      </c>
      <c r="E1266">
        <v>142601</v>
      </c>
      <c r="F1266" t="s">
        <v>115</v>
      </c>
      <c r="G1266" t="s">
        <v>73</v>
      </c>
      <c r="H1266">
        <v>23021</v>
      </c>
      <c r="I1266">
        <v>0</v>
      </c>
      <c r="J1266">
        <v>23021</v>
      </c>
      <c r="K1266">
        <v>0</v>
      </c>
      <c r="L1266">
        <v>0</v>
      </c>
    </row>
    <row r="1267" spans="1:12" x14ac:dyDescent="0.25">
      <c r="A1267" t="str">
        <f t="shared" si="19"/>
        <v>2002001426012026M12</v>
      </c>
      <c r="B1267">
        <v>51321001</v>
      </c>
      <c r="C1267">
        <v>14</v>
      </c>
      <c r="D1267">
        <v>200200</v>
      </c>
      <c r="E1267">
        <v>142601</v>
      </c>
      <c r="F1267" t="s">
        <v>115</v>
      </c>
      <c r="G1267" t="s">
        <v>74</v>
      </c>
      <c r="H1267">
        <v>46032.4</v>
      </c>
      <c r="I1267">
        <v>0</v>
      </c>
      <c r="J1267">
        <v>46032.4</v>
      </c>
      <c r="K1267">
        <v>0</v>
      </c>
      <c r="L1267">
        <v>0</v>
      </c>
    </row>
    <row r="1268" spans="1:12" x14ac:dyDescent="0.25">
      <c r="A1268" t="str">
        <f t="shared" si="19"/>
        <v>2002011405012026M02</v>
      </c>
      <c r="B1268">
        <v>51321001</v>
      </c>
      <c r="C1268">
        <v>14</v>
      </c>
      <c r="D1268">
        <v>200201</v>
      </c>
      <c r="E1268">
        <v>140501</v>
      </c>
      <c r="F1268" t="s">
        <v>115</v>
      </c>
      <c r="G1268" t="s">
        <v>64</v>
      </c>
      <c r="H1268">
        <v>10511.34</v>
      </c>
      <c r="I1268">
        <v>10511.34</v>
      </c>
      <c r="J1268">
        <v>0</v>
      </c>
      <c r="K1268">
        <v>0</v>
      </c>
      <c r="L1268">
        <v>0</v>
      </c>
    </row>
    <row r="1269" spans="1:12" x14ac:dyDescent="0.25">
      <c r="A1269" t="str">
        <f t="shared" si="19"/>
        <v>2002011405012026M03</v>
      </c>
      <c r="B1269">
        <v>51321001</v>
      </c>
      <c r="C1269">
        <v>14</v>
      </c>
      <c r="D1269">
        <v>200201</v>
      </c>
      <c r="E1269">
        <v>140501</v>
      </c>
      <c r="F1269" t="s">
        <v>115</v>
      </c>
      <c r="G1269" t="s">
        <v>65</v>
      </c>
      <c r="H1269">
        <v>10511.34</v>
      </c>
      <c r="I1269">
        <v>10511.34</v>
      </c>
      <c r="J1269">
        <v>0</v>
      </c>
      <c r="K1269">
        <v>0</v>
      </c>
      <c r="L1269">
        <v>0</v>
      </c>
    </row>
    <row r="1270" spans="1:12" x14ac:dyDescent="0.25">
      <c r="A1270" t="str">
        <f t="shared" si="19"/>
        <v>2002011405012026M04</v>
      </c>
      <c r="B1270">
        <v>51321001</v>
      </c>
      <c r="C1270">
        <v>14</v>
      </c>
      <c r="D1270">
        <v>200201</v>
      </c>
      <c r="E1270">
        <v>140501</v>
      </c>
      <c r="F1270" t="s">
        <v>115</v>
      </c>
      <c r="G1270" t="s">
        <v>66</v>
      </c>
      <c r="H1270">
        <v>10511.34</v>
      </c>
      <c r="I1270">
        <v>10511.34</v>
      </c>
      <c r="J1270">
        <v>0</v>
      </c>
      <c r="K1270">
        <v>0</v>
      </c>
      <c r="L1270">
        <v>0</v>
      </c>
    </row>
    <row r="1271" spans="1:12" x14ac:dyDescent="0.25">
      <c r="A1271" t="str">
        <f t="shared" si="19"/>
        <v>2002011405012026M05</v>
      </c>
      <c r="B1271">
        <v>51321001</v>
      </c>
      <c r="C1271">
        <v>14</v>
      </c>
      <c r="D1271">
        <v>200201</v>
      </c>
      <c r="E1271">
        <v>140501</v>
      </c>
      <c r="F1271" t="s">
        <v>115</v>
      </c>
      <c r="G1271" t="s">
        <v>67</v>
      </c>
      <c r="H1271">
        <v>10511.34</v>
      </c>
      <c r="I1271">
        <v>10511.34</v>
      </c>
      <c r="J1271">
        <v>0</v>
      </c>
      <c r="K1271">
        <v>0</v>
      </c>
      <c r="L1271">
        <v>0</v>
      </c>
    </row>
    <row r="1272" spans="1:12" x14ac:dyDescent="0.25">
      <c r="A1272" t="str">
        <f t="shared" si="19"/>
        <v>2002011405012026M06</v>
      </c>
      <c r="B1272">
        <v>51321001</v>
      </c>
      <c r="C1272">
        <v>14</v>
      </c>
      <c r="D1272">
        <v>200201</v>
      </c>
      <c r="E1272">
        <v>140501</v>
      </c>
      <c r="F1272" t="s">
        <v>115</v>
      </c>
      <c r="G1272" t="s">
        <v>68</v>
      </c>
      <c r="H1272">
        <v>10511.34</v>
      </c>
      <c r="I1272">
        <v>10511.34</v>
      </c>
      <c r="J1272">
        <v>0</v>
      </c>
      <c r="K1272">
        <v>0</v>
      </c>
      <c r="L1272">
        <v>0</v>
      </c>
    </row>
    <row r="1273" spans="1:12" x14ac:dyDescent="0.25">
      <c r="A1273" t="str">
        <f t="shared" si="19"/>
        <v>2002011405012026M07</v>
      </c>
      <c r="B1273">
        <v>51321001</v>
      </c>
      <c r="C1273">
        <v>14</v>
      </c>
      <c r="D1273">
        <v>200201</v>
      </c>
      <c r="E1273">
        <v>140501</v>
      </c>
      <c r="F1273" t="s">
        <v>115</v>
      </c>
      <c r="G1273" t="s">
        <v>69</v>
      </c>
      <c r="H1273">
        <v>10511.34</v>
      </c>
      <c r="I1273">
        <v>10511.34</v>
      </c>
      <c r="J1273">
        <v>0</v>
      </c>
      <c r="K1273">
        <v>0</v>
      </c>
      <c r="L1273">
        <v>0</v>
      </c>
    </row>
    <row r="1274" spans="1:12" x14ac:dyDescent="0.25">
      <c r="A1274" t="str">
        <f t="shared" si="19"/>
        <v>2002011405012026M08</v>
      </c>
      <c r="B1274">
        <v>51321001</v>
      </c>
      <c r="C1274">
        <v>14</v>
      </c>
      <c r="D1274">
        <v>200201</v>
      </c>
      <c r="E1274">
        <v>140501</v>
      </c>
      <c r="F1274" t="s">
        <v>115</v>
      </c>
      <c r="G1274" t="s">
        <v>70</v>
      </c>
      <c r="H1274">
        <v>10511.34</v>
      </c>
      <c r="I1274">
        <v>10511.34</v>
      </c>
      <c r="J1274">
        <v>0</v>
      </c>
      <c r="K1274">
        <v>0</v>
      </c>
      <c r="L1274">
        <v>0</v>
      </c>
    </row>
    <row r="1275" spans="1:12" x14ac:dyDescent="0.25">
      <c r="A1275" t="str">
        <f t="shared" si="19"/>
        <v>2002011405012026M09</v>
      </c>
      <c r="B1275">
        <v>51321001</v>
      </c>
      <c r="C1275">
        <v>14</v>
      </c>
      <c r="D1275">
        <v>200201</v>
      </c>
      <c r="E1275">
        <v>140501</v>
      </c>
      <c r="F1275" t="s">
        <v>115</v>
      </c>
      <c r="G1275" t="s">
        <v>71</v>
      </c>
      <c r="H1275">
        <v>10511.34</v>
      </c>
      <c r="I1275">
        <v>10511.34</v>
      </c>
      <c r="J1275">
        <v>0</v>
      </c>
      <c r="K1275">
        <v>0</v>
      </c>
      <c r="L1275">
        <v>0</v>
      </c>
    </row>
    <row r="1276" spans="1:12" x14ac:dyDescent="0.25">
      <c r="A1276" t="str">
        <f t="shared" si="19"/>
        <v>2002011405012026M10</v>
      </c>
      <c r="B1276">
        <v>51321001</v>
      </c>
      <c r="C1276">
        <v>14</v>
      </c>
      <c r="D1276">
        <v>200201</v>
      </c>
      <c r="E1276">
        <v>140501</v>
      </c>
      <c r="F1276" t="s">
        <v>115</v>
      </c>
      <c r="G1276" t="s">
        <v>72</v>
      </c>
      <c r="H1276">
        <v>10517.28</v>
      </c>
      <c r="I1276">
        <v>10511.34</v>
      </c>
      <c r="J1276">
        <v>5.94</v>
      </c>
      <c r="K1276">
        <v>0</v>
      </c>
      <c r="L1276">
        <v>0</v>
      </c>
    </row>
    <row r="1277" spans="1:12" x14ac:dyDescent="0.25">
      <c r="A1277" t="str">
        <f t="shared" si="19"/>
        <v>2002011405012026M11</v>
      </c>
      <c r="B1277">
        <v>51321001</v>
      </c>
      <c r="C1277">
        <v>14</v>
      </c>
      <c r="D1277">
        <v>200201</v>
      </c>
      <c r="E1277">
        <v>140501</v>
      </c>
      <c r="F1277" t="s">
        <v>115</v>
      </c>
      <c r="G1277" t="s">
        <v>73</v>
      </c>
      <c r="H1277">
        <v>10512</v>
      </c>
      <c r="I1277">
        <v>0</v>
      </c>
      <c r="J1277">
        <v>10512</v>
      </c>
      <c r="K1277">
        <v>0</v>
      </c>
      <c r="L1277">
        <v>0</v>
      </c>
    </row>
    <row r="1278" spans="1:12" x14ac:dyDescent="0.25">
      <c r="A1278" t="str">
        <f t="shared" si="19"/>
        <v>2002011405012026M12</v>
      </c>
      <c r="B1278">
        <v>51321001</v>
      </c>
      <c r="C1278">
        <v>14</v>
      </c>
      <c r="D1278">
        <v>200201</v>
      </c>
      <c r="E1278">
        <v>140501</v>
      </c>
      <c r="F1278" t="s">
        <v>115</v>
      </c>
      <c r="G1278" t="s">
        <v>74</v>
      </c>
      <c r="H1278">
        <v>21016.080000000002</v>
      </c>
      <c r="I1278">
        <v>0</v>
      </c>
      <c r="J1278">
        <v>21016.080000000002</v>
      </c>
      <c r="K1278">
        <v>0</v>
      </c>
      <c r="L1278">
        <v>0</v>
      </c>
    </row>
    <row r="1279" spans="1:12" x14ac:dyDescent="0.25">
      <c r="A1279" t="str">
        <f t="shared" si="19"/>
        <v>2002011424552026M02</v>
      </c>
      <c r="B1279">
        <v>51321001</v>
      </c>
      <c r="C1279">
        <v>14</v>
      </c>
      <c r="D1279">
        <v>200201</v>
      </c>
      <c r="E1279">
        <v>142455</v>
      </c>
      <c r="F1279" t="s">
        <v>115</v>
      </c>
      <c r="G1279" t="s">
        <v>64</v>
      </c>
      <c r="H1279">
        <v>2606.52</v>
      </c>
      <c r="I1279">
        <v>2606.52</v>
      </c>
      <c r="J1279">
        <v>0</v>
      </c>
      <c r="K1279">
        <v>0</v>
      </c>
      <c r="L1279">
        <v>0</v>
      </c>
    </row>
    <row r="1280" spans="1:12" x14ac:dyDescent="0.25">
      <c r="A1280" t="str">
        <f t="shared" si="19"/>
        <v>2002011424552026M03</v>
      </c>
      <c r="B1280">
        <v>51321001</v>
      </c>
      <c r="C1280">
        <v>14</v>
      </c>
      <c r="D1280">
        <v>200201</v>
      </c>
      <c r="E1280">
        <v>142455</v>
      </c>
      <c r="F1280" t="s">
        <v>115</v>
      </c>
      <c r="G1280" t="s">
        <v>65</v>
      </c>
      <c r="H1280">
        <v>2606.52</v>
      </c>
      <c r="I1280">
        <v>2606.52</v>
      </c>
      <c r="J1280">
        <v>0</v>
      </c>
      <c r="K1280">
        <v>0</v>
      </c>
      <c r="L1280">
        <v>0</v>
      </c>
    </row>
    <row r="1281" spans="1:12" x14ac:dyDescent="0.25">
      <c r="A1281" t="str">
        <f t="shared" si="19"/>
        <v>2002011424552026M04</v>
      </c>
      <c r="B1281">
        <v>51321001</v>
      </c>
      <c r="C1281">
        <v>14</v>
      </c>
      <c r="D1281">
        <v>200201</v>
      </c>
      <c r="E1281">
        <v>142455</v>
      </c>
      <c r="F1281" t="s">
        <v>115</v>
      </c>
      <c r="G1281" t="s">
        <v>66</v>
      </c>
      <c r="H1281">
        <v>0</v>
      </c>
      <c r="I1281">
        <v>0</v>
      </c>
      <c r="J1281">
        <v>0</v>
      </c>
      <c r="K1281">
        <v>0</v>
      </c>
      <c r="L1281">
        <v>0</v>
      </c>
    </row>
    <row r="1282" spans="1:12" x14ac:dyDescent="0.25">
      <c r="A1282" t="str">
        <f t="shared" si="19"/>
        <v>2002011424552026M05</v>
      </c>
      <c r="B1282">
        <v>51321001</v>
      </c>
      <c r="C1282">
        <v>14</v>
      </c>
      <c r="D1282">
        <v>200201</v>
      </c>
      <c r="E1282">
        <v>142455</v>
      </c>
      <c r="F1282" t="s">
        <v>115</v>
      </c>
      <c r="G1282" t="s">
        <v>67</v>
      </c>
      <c r="H1282">
        <v>5213.04</v>
      </c>
      <c r="I1282">
        <v>5213.04</v>
      </c>
      <c r="J1282">
        <v>0</v>
      </c>
      <c r="K1282">
        <v>0</v>
      </c>
      <c r="L1282">
        <v>0</v>
      </c>
    </row>
    <row r="1283" spans="1:12" x14ac:dyDescent="0.25">
      <c r="A1283" t="str">
        <f t="shared" si="19"/>
        <v>2002011424552026M06</v>
      </c>
      <c r="B1283">
        <v>51321001</v>
      </c>
      <c r="C1283">
        <v>14</v>
      </c>
      <c r="D1283">
        <v>200201</v>
      </c>
      <c r="E1283">
        <v>142455</v>
      </c>
      <c r="F1283" t="s">
        <v>115</v>
      </c>
      <c r="G1283" t="s">
        <v>68</v>
      </c>
      <c r="H1283">
        <v>2606.52</v>
      </c>
      <c r="I1283">
        <v>2606.52</v>
      </c>
      <c r="J1283">
        <v>0</v>
      </c>
      <c r="K1283">
        <v>0</v>
      </c>
      <c r="L1283">
        <v>0</v>
      </c>
    </row>
    <row r="1284" spans="1:12" x14ac:dyDescent="0.25">
      <c r="A1284" t="str">
        <f t="shared" si="19"/>
        <v>2002011424552026M07</v>
      </c>
      <c r="B1284">
        <v>51321001</v>
      </c>
      <c r="C1284">
        <v>14</v>
      </c>
      <c r="D1284">
        <v>200201</v>
      </c>
      <c r="E1284">
        <v>142455</v>
      </c>
      <c r="F1284" t="s">
        <v>115</v>
      </c>
      <c r="G1284" t="s">
        <v>69</v>
      </c>
      <c r="H1284">
        <v>2606.52</v>
      </c>
      <c r="I1284">
        <v>2606.52</v>
      </c>
      <c r="J1284">
        <v>0</v>
      </c>
      <c r="K1284">
        <v>0</v>
      </c>
      <c r="L1284">
        <v>0</v>
      </c>
    </row>
    <row r="1285" spans="1:12" x14ac:dyDescent="0.25">
      <c r="A1285" t="str">
        <f t="shared" si="19"/>
        <v>2002011424552026M08</v>
      </c>
      <c r="B1285">
        <v>51321001</v>
      </c>
      <c r="C1285">
        <v>14</v>
      </c>
      <c r="D1285">
        <v>200201</v>
      </c>
      <c r="E1285">
        <v>142455</v>
      </c>
      <c r="F1285" t="s">
        <v>115</v>
      </c>
      <c r="G1285" t="s">
        <v>70</v>
      </c>
      <c r="H1285">
        <v>2606.52</v>
      </c>
      <c r="I1285">
        <v>2606.52</v>
      </c>
      <c r="J1285">
        <v>0</v>
      </c>
      <c r="K1285">
        <v>0</v>
      </c>
      <c r="L1285">
        <v>0</v>
      </c>
    </row>
    <row r="1286" spans="1:12" x14ac:dyDescent="0.25">
      <c r="A1286" t="str">
        <f t="shared" si="19"/>
        <v>2002011424552026M09</v>
      </c>
      <c r="B1286">
        <v>51321001</v>
      </c>
      <c r="C1286">
        <v>14</v>
      </c>
      <c r="D1286">
        <v>200201</v>
      </c>
      <c r="E1286">
        <v>142455</v>
      </c>
      <c r="F1286" t="s">
        <v>115</v>
      </c>
      <c r="G1286" t="s">
        <v>71</v>
      </c>
      <c r="H1286">
        <v>2606.52</v>
      </c>
      <c r="I1286">
        <v>2606.52</v>
      </c>
      <c r="J1286">
        <v>0</v>
      </c>
      <c r="K1286">
        <v>0</v>
      </c>
      <c r="L1286">
        <v>0</v>
      </c>
    </row>
    <row r="1287" spans="1:12" x14ac:dyDescent="0.25">
      <c r="A1287" t="str">
        <f t="shared" si="19"/>
        <v>2002011424552026M10</v>
      </c>
      <c r="B1287">
        <v>51321001</v>
      </c>
      <c r="C1287">
        <v>14</v>
      </c>
      <c r="D1287">
        <v>200201</v>
      </c>
      <c r="E1287">
        <v>142455</v>
      </c>
      <c r="F1287" t="s">
        <v>115</v>
      </c>
      <c r="G1287" t="s">
        <v>72</v>
      </c>
      <c r="H1287">
        <v>2610.84</v>
      </c>
      <c r="I1287">
        <v>0</v>
      </c>
      <c r="J1287">
        <v>2610.84</v>
      </c>
      <c r="K1287">
        <v>0</v>
      </c>
      <c r="L1287">
        <v>0</v>
      </c>
    </row>
    <row r="1288" spans="1:12" x14ac:dyDescent="0.25">
      <c r="A1288" t="str">
        <f t="shared" si="19"/>
        <v>2002011424552026M11</v>
      </c>
      <c r="B1288">
        <v>51321001</v>
      </c>
      <c r="C1288">
        <v>14</v>
      </c>
      <c r="D1288">
        <v>200201</v>
      </c>
      <c r="E1288">
        <v>142455</v>
      </c>
      <c r="F1288" t="s">
        <v>115</v>
      </c>
      <c r="G1288" t="s">
        <v>73</v>
      </c>
      <c r="H1288">
        <v>2607</v>
      </c>
      <c r="I1288">
        <v>0</v>
      </c>
      <c r="J1288">
        <v>2607</v>
      </c>
      <c r="K1288">
        <v>0</v>
      </c>
      <c r="L1288">
        <v>0</v>
      </c>
    </row>
    <row r="1289" spans="1:12" x14ac:dyDescent="0.25">
      <c r="A1289" t="str">
        <f t="shared" si="19"/>
        <v>2002011424552026M12</v>
      </c>
      <c r="B1289">
        <v>51321001</v>
      </c>
      <c r="C1289">
        <v>14</v>
      </c>
      <c r="D1289">
        <v>200201</v>
      </c>
      <c r="E1289">
        <v>142455</v>
      </c>
      <c r="F1289" t="s">
        <v>115</v>
      </c>
      <c r="G1289" t="s">
        <v>74</v>
      </c>
      <c r="H1289">
        <v>5208.24</v>
      </c>
      <c r="I1289">
        <v>0</v>
      </c>
      <c r="J1289">
        <v>5208.24</v>
      </c>
      <c r="K1289">
        <v>0</v>
      </c>
      <c r="L1289">
        <v>0</v>
      </c>
    </row>
    <row r="1290" spans="1:12" x14ac:dyDescent="0.25">
      <c r="A1290" t="str">
        <f t="shared" si="19"/>
        <v>2002011424772026M02</v>
      </c>
      <c r="B1290">
        <v>51321001</v>
      </c>
      <c r="C1290">
        <v>14</v>
      </c>
      <c r="D1290">
        <v>200201</v>
      </c>
      <c r="E1290">
        <v>142477</v>
      </c>
      <c r="F1290" t="s">
        <v>115</v>
      </c>
      <c r="G1290" t="s">
        <v>64</v>
      </c>
      <c r="H1290">
        <v>0</v>
      </c>
      <c r="I1290">
        <v>0</v>
      </c>
      <c r="J1290">
        <v>0</v>
      </c>
      <c r="K1290">
        <v>0</v>
      </c>
      <c r="L1290">
        <v>0</v>
      </c>
    </row>
    <row r="1291" spans="1:12" x14ac:dyDescent="0.25">
      <c r="A1291" t="str">
        <f t="shared" ref="A1291:A1354" si="20">D1291&amp;E1291&amp;G1291</f>
        <v>2002011424772026M03</v>
      </c>
      <c r="B1291">
        <v>51321001</v>
      </c>
      <c r="C1291">
        <v>14</v>
      </c>
      <c r="D1291">
        <v>200201</v>
      </c>
      <c r="E1291">
        <v>142477</v>
      </c>
      <c r="F1291" t="s">
        <v>115</v>
      </c>
      <c r="G1291" t="s">
        <v>65</v>
      </c>
      <c r="H1291">
        <v>0</v>
      </c>
      <c r="I1291">
        <v>0</v>
      </c>
      <c r="J1291">
        <v>0</v>
      </c>
      <c r="K1291">
        <v>0</v>
      </c>
      <c r="L1291">
        <v>0</v>
      </c>
    </row>
    <row r="1292" spans="1:12" x14ac:dyDescent="0.25">
      <c r="A1292" t="str">
        <f t="shared" si="20"/>
        <v>2002011424772026M04</v>
      </c>
      <c r="B1292">
        <v>51321001</v>
      </c>
      <c r="C1292">
        <v>14</v>
      </c>
      <c r="D1292">
        <v>200201</v>
      </c>
      <c r="E1292">
        <v>142477</v>
      </c>
      <c r="F1292" t="s">
        <v>115</v>
      </c>
      <c r="G1292" t="s">
        <v>66</v>
      </c>
      <c r="H1292">
        <v>0</v>
      </c>
      <c r="I1292">
        <v>0</v>
      </c>
      <c r="J1292">
        <v>0</v>
      </c>
      <c r="K1292">
        <v>0</v>
      </c>
      <c r="L1292">
        <v>0</v>
      </c>
    </row>
    <row r="1293" spans="1:12" x14ac:dyDescent="0.25">
      <c r="A1293" t="str">
        <f t="shared" si="20"/>
        <v>2002011424772026M05</v>
      </c>
      <c r="B1293">
        <v>51321001</v>
      </c>
      <c r="C1293">
        <v>14</v>
      </c>
      <c r="D1293">
        <v>200201</v>
      </c>
      <c r="E1293">
        <v>142477</v>
      </c>
      <c r="F1293" t="s">
        <v>115</v>
      </c>
      <c r="G1293" t="s">
        <v>67</v>
      </c>
      <c r="H1293">
        <v>9743.49</v>
      </c>
      <c r="I1293">
        <v>9743.49</v>
      </c>
      <c r="J1293">
        <v>0</v>
      </c>
      <c r="K1293">
        <v>0</v>
      </c>
      <c r="L1293">
        <v>0</v>
      </c>
    </row>
    <row r="1294" spans="1:12" x14ac:dyDescent="0.25">
      <c r="A1294" t="str">
        <f t="shared" si="20"/>
        <v>2002011424772026M06</v>
      </c>
      <c r="B1294">
        <v>51321001</v>
      </c>
      <c r="C1294">
        <v>14</v>
      </c>
      <c r="D1294">
        <v>200201</v>
      </c>
      <c r="E1294">
        <v>142477</v>
      </c>
      <c r="F1294" t="s">
        <v>115</v>
      </c>
      <c r="G1294" t="s">
        <v>68</v>
      </c>
      <c r="H1294">
        <v>6495.66</v>
      </c>
      <c r="I1294">
        <v>6495.66</v>
      </c>
      <c r="J1294">
        <v>0</v>
      </c>
      <c r="K1294">
        <v>0</v>
      </c>
      <c r="L1294">
        <v>0</v>
      </c>
    </row>
    <row r="1295" spans="1:12" x14ac:dyDescent="0.25">
      <c r="A1295" t="str">
        <f t="shared" si="20"/>
        <v>2002011424772026M07</v>
      </c>
      <c r="B1295">
        <v>51321001</v>
      </c>
      <c r="C1295">
        <v>14</v>
      </c>
      <c r="D1295">
        <v>200201</v>
      </c>
      <c r="E1295">
        <v>142477</v>
      </c>
      <c r="F1295" t="s">
        <v>115</v>
      </c>
      <c r="G1295" t="s">
        <v>69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x14ac:dyDescent="0.25">
      <c r="A1296" t="str">
        <f t="shared" si="20"/>
        <v>2002011424772026M08</v>
      </c>
      <c r="B1296">
        <v>51321001</v>
      </c>
      <c r="C1296">
        <v>14</v>
      </c>
      <c r="D1296">
        <v>200201</v>
      </c>
      <c r="E1296">
        <v>142477</v>
      </c>
      <c r="F1296" t="s">
        <v>115</v>
      </c>
      <c r="G1296" t="s">
        <v>70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x14ac:dyDescent="0.25">
      <c r="A1297" t="str">
        <f t="shared" si="20"/>
        <v>2002011424772026M09</v>
      </c>
      <c r="B1297">
        <v>51321001</v>
      </c>
      <c r="C1297">
        <v>14</v>
      </c>
      <c r="D1297">
        <v>200201</v>
      </c>
      <c r="E1297">
        <v>142477</v>
      </c>
      <c r="F1297" t="s">
        <v>115</v>
      </c>
      <c r="G1297" t="s">
        <v>71</v>
      </c>
      <c r="H1297">
        <v>0</v>
      </c>
      <c r="I1297">
        <v>0</v>
      </c>
      <c r="J1297">
        <v>0</v>
      </c>
      <c r="K1297">
        <v>0</v>
      </c>
      <c r="L1297">
        <v>0</v>
      </c>
    </row>
    <row r="1298" spans="1:12" x14ac:dyDescent="0.25">
      <c r="A1298" t="str">
        <f t="shared" si="20"/>
        <v>2002011424772026M10</v>
      </c>
      <c r="B1298">
        <v>51321001</v>
      </c>
      <c r="C1298">
        <v>14</v>
      </c>
      <c r="D1298">
        <v>200201</v>
      </c>
      <c r="E1298">
        <v>142477</v>
      </c>
      <c r="F1298" t="s">
        <v>115</v>
      </c>
      <c r="G1298" t="s">
        <v>72</v>
      </c>
      <c r="H1298">
        <v>12992.85</v>
      </c>
      <c r="I1298">
        <v>0</v>
      </c>
      <c r="J1298">
        <v>12992.85</v>
      </c>
      <c r="K1298">
        <v>0</v>
      </c>
      <c r="L1298">
        <v>0</v>
      </c>
    </row>
    <row r="1299" spans="1:12" x14ac:dyDescent="0.25">
      <c r="A1299" t="str">
        <f t="shared" si="20"/>
        <v>2002011424772026M11</v>
      </c>
      <c r="B1299">
        <v>51321001</v>
      </c>
      <c r="C1299">
        <v>14</v>
      </c>
      <c r="D1299">
        <v>200201</v>
      </c>
      <c r="E1299">
        <v>142477</v>
      </c>
      <c r="F1299" t="s">
        <v>115</v>
      </c>
      <c r="G1299" t="s">
        <v>73</v>
      </c>
      <c r="H1299">
        <v>3248</v>
      </c>
      <c r="I1299">
        <v>0</v>
      </c>
      <c r="J1299">
        <v>3248</v>
      </c>
      <c r="K1299">
        <v>0</v>
      </c>
      <c r="L1299">
        <v>0</v>
      </c>
    </row>
    <row r="1300" spans="1:12" x14ac:dyDescent="0.25">
      <c r="A1300" t="str">
        <f t="shared" si="20"/>
        <v>2002011424772026M12</v>
      </c>
      <c r="B1300">
        <v>51321001</v>
      </c>
      <c r="C1300">
        <v>14</v>
      </c>
      <c r="D1300">
        <v>200201</v>
      </c>
      <c r="E1300">
        <v>142477</v>
      </c>
      <c r="F1300" t="s">
        <v>115</v>
      </c>
      <c r="G1300" t="s">
        <v>74</v>
      </c>
      <c r="H1300">
        <v>6496</v>
      </c>
      <c r="I1300">
        <v>0</v>
      </c>
      <c r="J1300">
        <v>6496</v>
      </c>
      <c r="K1300">
        <v>0</v>
      </c>
      <c r="L1300">
        <v>0</v>
      </c>
    </row>
    <row r="1301" spans="1:12" x14ac:dyDescent="0.25">
      <c r="A1301" t="str">
        <f t="shared" si="20"/>
        <v>3802001459072026M02</v>
      </c>
      <c r="B1301">
        <v>51321001</v>
      </c>
      <c r="C1301">
        <v>14</v>
      </c>
      <c r="D1301">
        <v>380200</v>
      </c>
      <c r="E1301">
        <v>145907</v>
      </c>
      <c r="F1301" t="s">
        <v>115</v>
      </c>
      <c r="G1301" t="s">
        <v>64</v>
      </c>
      <c r="H1301">
        <v>0</v>
      </c>
      <c r="I1301">
        <v>0</v>
      </c>
      <c r="J1301">
        <v>0</v>
      </c>
      <c r="K1301">
        <v>0</v>
      </c>
      <c r="L1301">
        <v>0</v>
      </c>
    </row>
    <row r="1302" spans="1:12" x14ac:dyDescent="0.25">
      <c r="A1302" t="str">
        <f t="shared" si="20"/>
        <v>3802001459072026M03</v>
      </c>
      <c r="B1302">
        <v>51321001</v>
      </c>
      <c r="C1302">
        <v>14</v>
      </c>
      <c r="D1302">
        <v>380200</v>
      </c>
      <c r="E1302">
        <v>145907</v>
      </c>
      <c r="F1302" t="s">
        <v>115</v>
      </c>
      <c r="G1302" t="s">
        <v>65</v>
      </c>
      <c r="H1302">
        <v>0</v>
      </c>
      <c r="I1302">
        <v>0</v>
      </c>
      <c r="J1302">
        <v>0</v>
      </c>
      <c r="K1302">
        <v>0</v>
      </c>
      <c r="L1302">
        <v>0</v>
      </c>
    </row>
    <row r="1303" spans="1:12" x14ac:dyDescent="0.25">
      <c r="A1303" t="str">
        <f t="shared" si="20"/>
        <v>3802001459072026M04</v>
      </c>
      <c r="B1303">
        <v>51321001</v>
      </c>
      <c r="C1303">
        <v>14</v>
      </c>
      <c r="D1303">
        <v>380200</v>
      </c>
      <c r="E1303">
        <v>145907</v>
      </c>
      <c r="F1303" t="s">
        <v>115</v>
      </c>
      <c r="G1303" t="s">
        <v>66</v>
      </c>
      <c r="H1303">
        <v>0</v>
      </c>
      <c r="I1303">
        <v>0</v>
      </c>
      <c r="J1303">
        <v>0</v>
      </c>
      <c r="K1303">
        <v>0</v>
      </c>
      <c r="L1303">
        <v>0</v>
      </c>
    </row>
    <row r="1304" spans="1:12" x14ac:dyDescent="0.25">
      <c r="A1304" t="str">
        <f t="shared" si="20"/>
        <v>3802001459072026M05</v>
      </c>
      <c r="B1304">
        <v>51321001</v>
      </c>
      <c r="C1304">
        <v>14</v>
      </c>
      <c r="D1304">
        <v>380200</v>
      </c>
      <c r="E1304">
        <v>145907</v>
      </c>
      <c r="F1304" t="s">
        <v>115</v>
      </c>
      <c r="G1304" t="s">
        <v>67</v>
      </c>
      <c r="H1304">
        <v>0</v>
      </c>
      <c r="I1304">
        <v>0</v>
      </c>
      <c r="J1304">
        <v>0</v>
      </c>
      <c r="K1304">
        <v>0</v>
      </c>
      <c r="L1304">
        <v>0</v>
      </c>
    </row>
    <row r="1305" spans="1:12" x14ac:dyDescent="0.25">
      <c r="A1305" t="str">
        <f t="shared" si="20"/>
        <v>3802001459072026M06</v>
      </c>
      <c r="B1305">
        <v>51321001</v>
      </c>
      <c r="C1305">
        <v>14</v>
      </c>
      <c r="D1305">
        <v>380200</v>
      </c>
      <c r="E1305">
        <v>145907</v>
      </c>
      <c r="F1305" t="s">
        <v>115</v>
      </c>
      <c r="G1305" t="s">
        <v>68</v>
      </c>
      <c r="H1305">
        <v>510400</v>
      </c>
      <c r="I1305">
        <v>510400</v>
      </c>
      <c r="J1305">
        <v>0</v>
      </c>
      <c r="K1305">
        <v>0</v>
      </c>
      <c r="L1305">
        <v>0</v>
      </c>
    </row>
    <row r="1306" spans="1:12" x14ac:dyDescent="0.25">
      <c r="A1306" t="str">
        <f t="shared" si="20"/>
        <v>3802001459072026M07</v>
      </c>
      <c r="B1306">
        <v>51321001</v>
      </c>
      <c r="C1306">
        <v>14</v>
      </c>
      <c r="D1306">
        <v>380200</v>
      </c>
      <c r="E1306">
        <v>145907</v>
      </c>
      <c r="F1306" t="s">
        <v>115</v>
      </c>
      <c r="G1306" t="s">
        <v>69</v>
      </c>
      <c r="H1306">
        <v>255200</v>
      </c>
      <c r="I1306">
        <v>255200</v>
      </c>
      <c r="J1306">
        <v>0</v>
      </c>
      <c r="K1306">
        <v>0</v>
      </c>
      <c r="L1306">
        <v>0</v>
      </c>
    </row>
    <row r="1307" spans="1:12" x14ac:dyDescent="0.25">
      <c r="A1307" t="str">
        <f t="shared" si="20"/>
        <v>3802001459072026M08</v>
      </c>
      <c r="B1307">
        <v>51321001</v>
      </c>
      <c r="C1307">
        <v>14</v>
      </c>
      <c r="D1307">
        <v>380200</v>
      </c>
      <c r="E1307">
        <v>145907</v>
      </c>
      <c r="F1307" t="s">
        <v>115</v>
      </c>
      <c r="G1307" t="s">
        <v>70</v>
      </c>
      <c r="H1307">
        <v>0</v>
      </c>
      <c r="I1307">
        <v>0</v>
      </c>
      <c r="J1307">
        <v>0</v>
      </c>
      <c r="K1307">
        <v>0</v>
      </c>
      <c r="L1307">
        <v>0</v>
      </c>
    </row>
    <row r="1308" spans="1:12" x14ac:dyDescent="0.25">
      <c r="A1308" t="str">
        <f t="shared" si="20"/>
        <v>3802001459072026M09</v>
      </c>
      <c r="B1308">
        <v>51321001</v>
      </c>
      <c r="C1308">
        <v>14</v>
      </c>
      <c r="D1308">
        <v>380200</v>
      </c>
      <c r="E1308">
        <v>145907</v>
      </c>
      <c r="F1308" t="s">
        <v>115</v>
      </c>
      <c r="G1308" t="s">
        <v>71</v>
      </c>
      <c r="H1308">
        <v>255200</v>
      </c>
      <c r="I1308">
        <v>255200</v>
      </c>
      <c r="J1308">
        <v>0</v>
      </c>
      <c r="K1308">
        <v>0</v>
      </c>
      <c r="L1308">
        <v>0</v>
      </c>
    </row>
    <row r="1309" spans="1:12" x14ac:dyDescent="0.25">
      <c r="A1309" t="str">
        <f t="shared" si="20"/>
        <v>3802001459072026M10</v>
      </c>
      <c r="B1309">
        <v>51321001</v>
      </c>
      <c r="C1309">
        <v>14</v>
      </c>
      <c r="D1309">
        <v>380200</v>
      </c>
      <c r="E1309">
        <v>145907</v>
      </c>
      <c r="F1309" t="s">
        <v>115</v>
      </c>
      <c r="G1309" t="s">
        <v>72</v>
      </c>
      <c r="H1309">
        <v>127600</v>
      </c>
      <c r="I1309">
        <v>127600</v>
      </c>
      <c r="J1309">
        <v>0</v>
      </c>
      <c r="K1309">
        <v>0</v>
      </c>
      <c r="L1309">
        <v>0</v>
      </c>
    </row>
    <row r="1310" spans="1:12" x14ac:dyDescent="0.25">
      <c r="A1310" t="str">
        <f t="shared" si="20"/>
        <v>3802001459072026M11</v>
      </c>
      <c r="B1310">
        <v>51321001</v>
      </c>
      <c r="C1310">
        <v>14</v>
      </c>
      <c r="D1310">
        <v>380200</v>
      </c>
      <c r="E1310">
        <v>145907</v>
      </c>
      <c r="F1310" t="s">
        <v>115</v>
      </c>
      <c r="G1310" t="s">
        <v>73</v>
      </c>
      <c r="H1310">
        <v>127600</v>
      </c>
      <c r="I1310">
        <v>0</v>
      </c>
      <c r="J1310">
        <v>127600</v>
      </c>
      <c r="K1310">
        <v>0</v>
      </c>
      <c r="L1310">
        <v>0</v>
      </c>
    </row>
    <row r="1311" spans="1:12" x14ac:dyDescent="0.25">
      <c r="A1311" t="str">
        <f t="shared" si="20"/>
        <v>3802001459072026M12</v>
      </c>
      <c r="B1311">
        <v>51321001</v>
      </c>
      <c r="C1311">
        <v>14</v>
      </c>
      <c r="D1311">
        <v>380200</v>
      </c>
      <c r="E1311">
        <v>145907</v>
      </c>
      <c r="F1311" t="s">
        <v>115</v>
      </c>
      <c r="G1311" t="s">
        <v>74</v>
      </c>
      <c r="H1311">
        <v>255200</v>
      </c>
      <c r="I1311">
        <v>0</v>
      </c>
      <c r="J1311">
        <v>255200</v>
      </c>
      <c r="K1311">
        <v>0</v>
      </c>
      <c r="L1311">
        <v>0</v>
      </c>
    </row>
    <row r="1312" spans="1:12" x14ac:dyDescent="0.25">
      <c r="A1312" t="str">
        <f t="shared" si="20"/>
        <v>9001101491042026M02</v>
      </c>
      <c r="B1312">
        <v>51321001</v>
      </c>
      <c r="C1312">
        <v>14</v>
      </c>
      <c r="D1312">
        <v>900110</v>
      </c>
      <c r="E1312">
        <v>149104</v>
      </c>
      <c r="F1312" t="s">
        <v>115</v>
      </c>
      <c r="G1312" t="s">
        <v>64</v>
      </c>
      <c r="H1312">
        <v>10127.15</v>
      </c>
      <c r="I1312">
        <v>10127.15</v>
      </c>
      <c r="J1312">
        <v>0</v>
      </c>
      <c r="K1312">
        <v>0</v>
      </c>
      <c r="L1312">
        <v>0</v>
      </c>
    </row>
    <row r="1313" spans="1:12" x14ac:dyDescent="0.25">
      <c r="A1313" t="str">
        <f t="shared" si="20"/>
        <v>9001101491042026M03</v>
      </c>
      <c r="B1313">
        <v>51321001</v>
      </c>
      <c r="C1313">
        <v>14</v>
      </c>
      <c r="D1313">
        <v>900110</v>
      </c>
      <c r="E1313">
        <v>149104</v>
      </c>
      <c r="F1313" t="s">
        <v>115</v>
      </c>
      <c r="G1313" t="s">
        <v>65</v>
      </c>
      <c r="H1313">
        <v>10127.15</v>
      </c>
      <c r="I1313">
        <v>10127.15</v>
      </c>
      <c r="J1313">
        <v>0</v>
      </c>
      <c r="K1313">
        <v>0</v>
      </c>
      <c r="L1313">
        <v>0</v>
      </c>
    </row>
    <row r="1314" spans="1:12" x14ac:dyDescent="0.25">
      <c r="A1314" t="str">
        <f t="shared" si="20"/>
        <v>9001101491042026M04</v>
      </c>
      <c r="B1314">
        <v>51321001</v>
      </c>
      <c r="C1314">
        <v>14</v>
      </c>
      <c r="D1314">
        <v>900110</v>
      </c>
      <c r="E1314">
        <v>149104</v>
      </c>
      <c r="F1314" t="s">
        <v>115</v>
      </c>
      <c r="G1314" t="s">
        <v>66</v>
      </c>
      <c r="H1314">
        <v>0</v>
      </c>
      <c r="I1314">
        <v>0</v>
      </c>
      <c r="J1314">
        <v>0</v>
      </c>
      <c r="K1314">
        <v>0</v>
      </c>
      <c r="L1314">
        <v>0</v>
      </c>
    </row>
    <row r="1315" spans="1:12" x14ac:dyDescent="0.25">
      <c r="A1315" t="str">
        <f t="shared" si="20"/>
        <v>9001101491042026M05</v>
      </c>
      <c r="B1315">
        <v>51321001</v>
      </c>
      <c r="C1315">
        <v>14</v>
      </c>
      <c r="D1315">
        <v>900110</v>
      </c>
      <c r="E1315">
        <v>149104</v>
      </c>
      <c r="F1315" t="s">
        <v>115</v>
      </c>
      <c r="G1315" t="s">
        <v>67</v>
      </c>
      <c r="H1315">
        <v>20254.3</v>
      </c>
      <c r="I1315">
        <v>20254.3</v>
      </c>
      <c r="J1315">
        <v>0</v>
      </c>
      <c r="K1315">
        <v>0</v>
      </c>
      <c r="L1315">
        <v>0</v>
      </c>
    </row>
    <row r="1316" spans="1:12" x14ac:dyDescent="0.25">
      <c r="A1316" t="str">
        <f t="shared" si="20"/>
        <v>9001101491042026M06</v>
      </c>
      <c r="B1316">
        <v>51321001</v>
      </c>
      <c r="C1316">
        <v>14</v>
      </c>
      <c r="D1316">
        <v>900110</v>
      </c>
      <c r="E1316">
        <v>149104</v>
      </c>
      <c r="F1316" t="s">
        <v>115</v>
      </c>
      <c r="G1316" t="s">
        <v>68</v>
      </c>
      <c r="H1316">
        <v>10127.15</v>
      </c>
      <c r="I1316">
        <v>10127.15</v>
      </c>
      <c r="J1316">
        <v>0</v>
      </c>
      <c r="K1316">
        <v>0</v>
      </c>
      <c r="L1316">
        <v>0</v>
      </c>
    </row>
    <row r="1317" spans="1:12" x14ac:dyDescent="0.25">
      <c r="A1317" t="str">
        <f t="shared" si="20"/>
        <v>9001101491042026M07</v>
      </c>
      <c r="B1317">
        <v>51321001</v>
      </c>
      <c r="C1317">
        <v>14</v>
      </c>
      <c r="D1317">
        <v>900110</v>
      </c>
      <c r="E1317">
        <v>149104</v>
      </c>
      <c r="F1317" t="s">
        <v>115</v>
      </c>
      <c r="G1317" t="s">
        <v>69</v>
      </c>
      <c r="H1317">
        <v>10127.15</v>
      </c>
      <c r="I1317">
        <v>10127.15</v>
      </c>
      <c r="J1317">
        <v>0</v>
      </c>
      <c r="K1317">
        <v>0</v>
      </c>
      <c r="L1317">
        <v>0</v>
      </c>
    </row>
    <row r="1318" spans="1:12" x14ac:dyDescent="0.25">
      <c r="A1318" t="str">
        <f t="shared" si="20"/>
        <v>9001101491042026M08</v>
      </c>
      <c r="B1318">
        <v>51321001</v>
      </c>
      <c r="C1318">
        <v>14</v>
      </c>
      <c r="D1318">
        <v>900110</v>
      </c>
      <c r="E1318">
        <v>149104</v>
      </c>
      <c r="F1318" t="s">
        <v>115</v>
      </c>
      <c r="G1318" t="s">
        <v>70</v>
      </c>
      <c r="H1318">
        <v>10127.15</v>
      </c>
      <c r="I1318">
        <v>10127.15</v>
      </c>
      <c r="J1318">
        <v>0</v>
      </c>
      <c r="K1318">
        <v>0</v>
      </c>
      <c r="L1318">
        <v>0</v>
      </c>
    </row>
    <row r="1319" spans="1:12" x14ac:dyDescent="0.25">
      <c r="A1319" t="str">
        <f t="shared" si="20"/>
        <v>9001101491042026M09</v>
      </c>
      <c r="B1319">
        <v>51321001</v>
      </c>
      <c r="C1319">
        <v>14</v>
      </c>
      <c r="D1319">
        <v>900110</v>
      </c>
      <c r="E1319">
        <v>149104</v>
      </c>
      <c r="F1319" t="s">
        <v>115</v>
      </c>
      <c r="G1319" t="s">
        <v>71</v>
      </c>
      <c r="H1319">
        <v>10127.15</v>
      </c>
      <c r="I1319">
        <v>10127.15</v>
      </c>
      <c r="J1319">
        <v>0</v>
      </c>
      <c r="K1319">
        <v>0</v>
      </c>
      <c r="L1319">
        <v>0</v>
      </c>
    </row>
    <row r="1320" spans="1:12" x14ac:dyDescent="0.25">
      <c r="A1320" t="str">
        <f t="shared" si="20"/>
        <v>9001101491042026M10</v>
      </c>
      <c r="B1320">
        <v>51321001</v>
      </c>
      <c r="C1320">
        <v>14</v>
      </c>
      <c r="D1320">
        <v>900110</v>
      </c>
      <c r="E1320">
        <v>149104</v>
      </c>
      <c r="F1320" t="s">
        <v>115</v>
      </c>
      <c r="G1320" t="s">
        <v>72</v>
      </c>
      <c r="H1320">
        <v>10134.799999999999</v>
      </c>
      <c r="I1320">
        <v>0</v>
      </c>
      <c r="J1320">
        <v>10134.799999999999</v>
      </c>
      <c r="K1320">
        <v>0</v>
      </c>
      <c r="L1320">
        <v>0</v>
      </c>
    </row>
    <row r="1321" spans="1:12" x14ac:dyDescent="0.25">
      <c r="A1321" t="str">
        <f t="shared" si="20"/>
        <v>9001101491042026M11</v>
      </c>
      <c r="B1321">
        <v>51321001</v>
      </c>
      <c r="C1321">
        <v>14</v>
      </c>
      <c r="D1321">
        <v>900110</v>
      </c>
      <c r="E1321">
        <v>149104</v>
      </c>
      <c r="F1321" t="s">
        <v>115</v>
      </c>
      <c r="G1321" t="s">
        <v>73</v>
      </c>
      <c r="H1321">
        <v>10128</v>
      </c>
      <c r="I1321">
        <v>0</v>
      </c>
      <c r="J1321">
        <v>10128</v>
      </c>
      <c r="K1321">
        <v>0</v>
      </c>
      <c r="L1321">
        <v>0</v>
      </c>
    </row>
    <row r="1322" spans="1:12" x14ac:dyDescent="0.25">
      <c r="A1322" t="str">
        <f t="shared" si="20"/>
        <v>9001101491042026M12</v>
      </c>
      <c r="B1322">
        <v>51321001</v>
      </c>
      <c r="C1322">
        <v>14</v>
      </c>
      <c r="D1322">
        <v>900110</v>
      </c>
      <c r="E1322">
        <v>149104</v>
      </c>
      <c r="F1322" t="s">
        <v>115</v>
      </c>
      <c r="G1322" t="s">
        <v>74</v>
      </c>
      <c r="H1322">
        <v>20245.78</v>
      </c>
      <c r="I1322">
        <v>0</v>
      </c>
      <c r="J1322">
        <v>20245.78</v>
      </c>
      <c r="K1322">
        <v>0</v>
      </c>
      <c r="L1322">
        <v>0</v>
      </c>
    </row>
    <row r="1323" spans="1:12" x14ac:dyDescent="0.25">
      <c r="A1323" t="str">
        <f t="shared" si="20"/>
        <v>9001101491062026M02</v>
      </c>
      <c r="B1323">
        <v>51321001</v>
      </c>
      <c r="C1323">
        <v>14</v>
      </c>
      <c r="D1323">
        <v>900110</v>
      </c>
      <c r="E1323">
        <v>149106</v>
      </c>
      <c r="F1323" t="s">
        <v>115</v>
      </c>
      <c r="G1323" t="s">
        <v>64</v>
      </c>
      <c r="H1323">
        <v>220805.88</v>
      </c>
      <c r="I1323">
        <v>220805.88</v>
      </c>
      <c r="J1323">
        <v>0</v>
      </c>
      <c r="K1323">
        <v>0</v>
      </c>
      <c r="L1323">
        <v>0</v>
      </c>
    </row>
    <row r="1324" spans="1:12" x14ac:dyDescent="0.25">
      <c r="A1324" t="str">
        <f t="shared" si="20"/>
        <v>9001101491062026M03</v>
      </c>
      <c r="B1324">
        <v>51321001</v>
      </c>
      <c r="C1324">
        <v>14</v>
      </c>
      <c r="D1324">
        <v>900110</v>
      </c>
      <c r="E1324">
        <v>149106</v>
      </c>
      <c r="F1324" t="s">
        <v>115</v>
      </c>
      <c r="G1324" t="s">
        <v>65</v>
      </c>
      <c r="H1324">
        <v>220805.88</v>
      </c>
      <c r="I1324">
        <v>220805.88</v>
      </c>
      <c r="J1324">
        <v>0</v>
      </c>
      <c r="K1324">
        <v>0</v>
      </c>
      <c r="L1324">
        <v>0</v>
      </c>
    </row>
    <row r="1325" spans="1:12" x14ac:dyDescent="0.25">
      <c r="A1325" t="str">
        <f t="shared" si="20"/>
        <v>9001101491062026M04</v>
      </c>
      <c r="B1325">
        <v>51321001</v>
      </c>
      <c r="C1325">
        <v>14</v>
      </c>
      <c r="D1325">
        <v>900110</v>
      </c>
      <c r="E1325">
        <v>149106</v>
      </c>
      <c r="F1325" t="s">
        <v>115</v>
      </c>
      <c r="G1325" t="s">
        <v>66</v>
      </c>
      <c r="H1325">
        <v>220805.88</v>
      </c>
      <c r="I1325">
        <v>220805.88</v>
      </c>
      <c r="J1325">
        <v>0</v>
      </c>
      <c r="K1325">
        <v>0</v>
      </c>
      <c r="L1325">
        <v>0</v>
      </c>
    </row>
    <row r="1326" spans="1:12" x14ac:dyDescent="0.25">
      <c r="A1326" t="str">
        <f t="shared" si="20"/>
        <v>9001101491062026M05</v>
      </c>
      <c r="B1326">
        <v>51321001</v>
      </c>
      <c r="C1326">
        <v>14</v>
      </c>
      <c r="D1326">
        <v>900110</v>
      </c>
      <c r="E1326">
        <v>149106</v>
      </c>
      <c r="F1326" t="s">
        <v>115</v>
      </c>
      <c r="G1326" t="s">
        <v>67</v>
      </c>
      <c r="H1326">
        <v>220805.88</v>
      </c>
      <c r="I1326">
        <v>220805.88</v>
      </c>
      <c r="J1326">
        <v>0</v>
      </c>
      <c r="K1326">
        <v>0</v>
      </c>
      <c r="L1326">
        <v>0</v>
      </c>
    </row>
    <row r="1327" spans="1:12" x14ac:dyDescent="0.25">
      <c r="A1327" t="str">
        <f t="shared" si="20"/>
        <v>9001101491062026M06</v>
      </c>
      <c r="B1327">
        <v>51321001</v>
      </c>
      <c r="C1327">
        <v>14</v>
      </c>
      <c r="D1327">
        <v>900110</v>
      </c>
      <c r="E1327">
        <v>149106</v>
      </c>
      <c r="F1327" t="s">
        <v>115</v>
      </c>
      <c r="G1327" t="s">
        <v>68</v>
      </c>
      <c r="H1327">
        <v>220805.88</v>
      </c>
      <c r="I1327">
        <v>220805.88</v>
      </c>
      <c r="J1327">
        <v>0</v>
      </c>
      <c r="K1327">
        <v>0</v>
      </c>
      <c r="L1327">
        <v>0</v>
      </c>
    </row>
    <row r="1328" spans="1:12" x14ac:dyDescent="0.25">
      <c r="A1328" t="str">
        <f t="shared" si="20"/>
        <v>9001101491062026M07</v>
      </c>
      <c r="B1328">
        <v>51321001</v>
      </c>
      <c r="C1328">
        <v>14</v>
      </c>
      <c r="D1328">
        <v>900110</v>
      </c>
      <c r="E1328">
        <v>149106</v>
      </c>
      <c r="F1328" t="s">
        <v>115</v>
      </c>
      <c r="G1328" t="s">
        <v>69</v>
      </c>
      <c r="H1328">
        <v>220805.88</v>
      </c>
      <c r="I1328">
        <v>220805.88</v>
      </c>
      <c r="J1328">
        <v>0</v>
      </c>
      <c r="K1328">
        <v>0</v>
      </c>
      <c r="L1328">
        <v>0</v>
      </c>
    </row>
    <row r="1329" spans="1:12" x14ac:dyDescent="0.25">
      <c r="A1329" t="str">
        <f t="shared" si="20"/>
        <v>9001101491062026M08</v>
      </c>
      <c r="B1329">
        <v>51321001</v>
      </c>
      <c r="C1329">
        <v>14</v>
      </c>
      <c r="D1329">
        <v>900110</v>
      </c>
      <c r="E1329">
        <v>149106</v>
      </c>
      <c r="F1329" t="s">
        <v>115</v>
      </c>
      <c r="G1329" t="s">
        <v>70</v>
      </c>
      <c r="H1329">
        <v>220805.88</v>
      </c>
      <c r="I1329">
        <v>220805.88</v>
      </c>
      <c r="J1329">
        <v>0</v>
      </c>
      <c r="K1329">
        <v>0</v>
      </c>
      <c r="L1329">
        <v>0</v>
      </c>
    </row>
    <row r="1330" spans="1:12" x14ac:dyDescent="0.25">
      <c r="A1330" t="str">
        <f t="shared" si="20"/>
        <v>9001101491062026M09</v>
      </c>
      <c r="B1330">
        <v>51321001</v>
      </c>
      <c r="C1330">
        <v>14</v>
      </c>
      <c r="D1330">
        <v>900110</v>
      </c>
      <c r="E1330">
        <v>149106</v>
      </c>
      <c r="F1330" t="s">
        <v>115</v>
      </c>
      <c r="G1330" t="s">
        <v>71</v>
      </c>
      <c r="H1330">
        <v>220805.88</v>
      </c>
      <c r="I1330">
        <v>220805.88</v>
      </c>
      <c r="J1330">
        <v>0</v>
      </c>
      <c r="K1330">
        <v>0</v>
      </c>
      <c r="L1330">
        <v>0</v>
      </c>
    </row>
    <row r="1331" spans="1:12" x14ac:dyDescent="0.25">
      <c r="A1331" t="str">
        <f t="shared" si="20"/>
        <v>9001101491062026M10</v>
      </c>
      <c r="B1331">
        <v>51321001</v>
      </c>
      <c r="C1331">
        <v>14</v>
      </c>
      <c r="D1331">
        <v>900110</v>
      </c>
      <c r="E1331">
        <v>149106</v>
      </c>
      <c r="F1331" t="s">
        <v>115</v>
      </c>
      <c r="G1331" t="s">
        <v>72</v>
      </c>
      <c r="H1331">
        <v>220806.96</v>
      </c>
      <c r="I1331">
        <v>220805.88</v>
      </c>
      <c r="J1331">
        <v>1.08</v>
      </c>
      <c r="K1331">
        <v>0</v>
      </c>
      <c r="L1331">
        <v>0</v>
      </c>
    </row>
    <row r="1332" spans="1:12" x14ac:dyDescent="0.25">
      <c r="A1332" t="str">
        <f t="shared" si="20"/>
        <v>9001101491062026M11</v>
      </c>
      <c r="B1332">
        <v>51321001</v>
      </c>
      <c r="C1332">
        <v>14</v>
      </c>
      <c r="D1332">
        <v>900110</v>
      </c>
      <c r="E1332">
        <v>149106</v>
      </c>
      <c r="F1332" t="s">
        <v>115</v>
      </c>
      <c r="G1332" t="s">
        <v>73</v>
      </c>
      <c r="H1332">
        <v>220806</v>
      </c>
      <c r="I1332">
        <v>0</v>
      </c>
      <c r="J1332">
        <v>220806</v>
      </c>
      <c r="K1332">
        <v>0</v>
      </c>
      <c r="L1332">
        <v>0</v>
      </c>
    </row>
    <row r="1333" spans="1:12" x14ac:dyDescent="0.25">
      <c r="A1333" t="str">
        <f t="shared" si="20"/>
        <v>9001101491062026M12</v>
      </c>
      <c r="B1333">
        <v>51321001</v>
      </c>
      <c r="C1333">
        <v>14</v>
      </c>
      <c r="D1333">
        <v>900110</v>
      </c>
      <c r="E1333">
        <v>149106</v>
      </c>
      <c r="F1333" t="s">
        <v>115</v>
      </c>
      <c r="G1333" t="s">
        <v>74</v>
      </c>
      <c r="H1333">
        <v>441612</v>
      </c>
      <c r="I1333">
        <v>0</v>
      </c>
      <c r="J1333">
        <v>441612</v>
      </c>
      <c r="K1333">
        <v>0</v>
      </c>
      <c r="L1333">
        <v>0</v>
      </c>
    </row>
    <row r="1334" spans="1:12" x14ac:dyDescent="0.25">
      <c r="A1334" t="str">
        <f t="shared" si="20"/>
        <v>9001101491072026M02</v>
      </c>
      <c r="B1334">
        <v>51321001</v>
      </c>
      <c r="C1334">
        <v>14</v>
      </c>
      <c r="D1334">
        <v>900110</v>
      </c>
      <c r="E1334">
        <v>149107</v>
      </c>
      <c r="F1334" t="s">
        <v>115</v>
      </c>
      <c r="G1334" t="s">
        <v>64</v>
      </c>
      <c r="H1334">
        <v>23199.99</v>
      </c>
      <c r="I1334">
        <v>23199.99</v>
      </c>
      <c r="J1334">
        <v>0</v>
      </c>
      <c r="K1334">
        <v>0</v>
      </c>
      <c r="L1334">
        <v>0</v>
      </c>
    </row>
    <row r="1335" spans="1:12" x14ac:dyDescent="0.25">
      <c r="A1335" t="str">
        <f t="shared" si="20"/>
        <v>9001101491072026M03</v>
      </c>
      <c r="B1335">
        <v>51321001</v>
      </c>
      <c r="C1335">
        <v>14</v>
      </c>
      <c r="D1335">
        <v>900110</v>
      </c>
      <c r="E1335">
        <v>149107</v>
      </c>
      <c r="F1335" t="s">
        <v>115</v>
      </c>
      <c r="G1335" t="s">
        <v>65</v>
      </c>
      <c r="H1335">
        <v>23199.99</v>
      </c>
      <c r="I1335">
        <v>23199.99</v>
      </c>
      <c r="J1335">
        <v>0</v>
      </c>
      <c r="K1335">
        <v>0</v>
      </c>
      <c r="L1335">
        <v>0</v>
      </c>
    </row>
    <row r="1336" spans="1:12" x14ac:dyDescent="0.25">
      <c r="A1336" t="str">
        <f t="shared" si="20"/>
        <v>9001101491072026M04</v>
      </c>
      <c r="B1336">
        <v>51321001</v>
      </c>
      <c r="C1336">
        <v>14</v>
      </c>
      <c r="D1336">
        <v>900110</v>
      </c>
      <c r="E1336">
        <v>149107</v>
      </c>
      <c r="F1336" t="s">
        <v>115</v>
      </c>
      <c r="G1336" t="s">
        <v>66</v>
      </c>
      <c r="H1336">
        <v>19999.990000000002</v>
      </c>
      <c r="I1336">
        <v>19999.990000000002</v>
      </c>
      <c r="J1336">
        <v>0</v>
      </c>
      <c r="K1336">
        <v>0</v>
      </c>
      <c r="L1336">
        <v>0</v>
      </c>
    </row>
    <row r="1337" spans="1:12" x14ac:dyDescent="0.25">
      <c r="A1337" t="str">
        <f t="shared" si="20"/>
        <v>9001101491072026M05</v>
      </c>
      <c r="B1337">
        <v>51321001</v>
      </c>
      <c r="C1337">
        <v>14</v>
      </c>
      <c r="D1337">
        <v>900110</v>
      </c>
      <c r="E1337">
        <v>149107</v>
      </c>
      <c r="F1337" t="s">
        <v>115</v>
      </c>
      <c r="G1337" t="s">
        <v>67</v>
      </c>
      <c r="H1337">
        <v>23199.99</v>
      </c>
      <c r="I1337">
        <v>23199.99</v>
      </c>
      <c r="J1337">
        <v>0</v>
      </c>
      <c r="K1337">
        <v>0</v>
      </c>
      <c r="L1337">
        <v>0</v>
      </c>
    </row>
    <row r="1338" spans="1:12" x14ac:dyDescent="0.25">
      <c r="A1338" t="str">
        <f t="shared" si="20"/>
        <v>9001101491072026M06</v>
      </c>
      <c r="B1338">
        <v>51321001</v>
      </c>
      <c r="C1338">
        <v>14</v>
      </c>
      <c r="D1338">
        <v>900110</v>
      </c>
      <c r="E1338">
        <v>149107</v>
      </c>
      <c r="F1338" t="s">
        <v>115</v>
      </c>
      <c r="G1338" t="s">
        <v>68</v>
      </c>
      <c r="H1338">
        <v>23199.99</v>
      </c>
      <c r="I1338">
        <v>23199.99</v>
      </c>
      <c r="J1338">
        <v>0</v>
      </c>
      <c r="K1338">
        <v>0</v>
      </c>
      <c r="L1338">
        <v>0</v>
      </c>
    </row>
    <row r="1339" spans="1:12" x14ac:dyDescent="0.25">
      <c r="A1339" t="str">
        <f t="shared" si="20"/>
        <v>9001101491072026M07</v>
      </c>
      <c r="B1339">
        <v>51321001</v>
      </c>
      <c r="C1339">
        <v>14</v>
      </c>
      <c r="D1339">
        <v>900110</v>
      </c>
      <c r="E1339">
        <v>149107</v>
      </c>
      <c r="F1339" t="s">
        <v>115</v>
      </c>
      <c r="G1339" t="s">
        <v>69</v>
      </c>
      <c r="H1339">
        <v>23199.99</v>
      </c>
      <c r="I1339">
        <v>23199.99</v>
      </c>
      <c r="J1339">
        <v>0</v>
      </c>
      <c r="K1339">
        <v>0</v>
      </c>
      <c r="L1339">
        <v>0</v>
      </c>
    </row>
    <row r="1340" spans="1:12" x14ac:dyDescent="0.25">
      <c r="A1340" t="str">
        <f t="shared" si="20"/>
        <v>9001101491072026M08</v>
      </c>
      <c r="B1340">
        <v>51321001</v>
      </c>
      <c r="C1340">
        <v>14</v>
      </c>
      <c r="D1340">
        <v>900110</v>
      </c>
      <c r="E1340">
        <v>149107</v>
      </c>
      <c r="F1340" t="s">
        <v>115</v>
      </c>
      <c r="G1340" t="s">
        <v>70</v>
      </c>
      <c r="H1340">
        <v>23199.99</v>
      </c>
      <c r="I1340">
        <v>23199.99</v>
      </c>
      <c r="J1340">
        <v>0</v>
      </c>
      <c r="K1340">
        <v>0</v>
      </c>
      <c r="L1340">
        <v>0</v>
      </c>
    </row>
    <row r="1341" spans="1:12" x14ac:dyDescent="0.25">
      <c r="A1341" t="str">
        <f t="shared" si="20"/>
        <v>9001101491072026M09</v>
      </c>
      <c r="B1341">
        <v>51321001</v>
      </c>
      <c r="C1341">
        <v>14</v>
      </c>
      <c r="D1341">
        <v>900110</v>
      </c>
      <c r="E1341">
        <v>149107</v>
      </c>
      <c r="F1341" t="s">
        <v>115</v>
      </c>
      <c r="G1341" t="s">
        <v>71</v>
      </c>
      <c r="H1341">
        <v>23199.99</v>
      </c>
      <c r="I1341">
        <v>23199.99</v>
      </c>
      <c r="J1341">
        <v>0</v>
      </c>
      <c r="K1341">
        <v>0</v>
      </c>
      <c r="L1341">
        <v>0</v>
      </c>
    </row>
    <row r="1342" spans="1:12" x14ac:dyDescent="0.25">
      <c r="A1342" t="str">
        <f t="shared" si="20"/>
        <v>9001101491072026M10</v>
      </c>
      <c r="B1342">
        <v>51321001</v>
      </c>
      <c r="C1342">
        <v>14</v>
      </c>
      <c r="D1342">
        <v>900110</v>
      </c>
      <c r="E1342">
        <v>149107</v>
      </c>
      <c r="F1342" t="s">
        <v>115</v>
      </c>
      <c r="G1342" t="s">
        <v>72</v>
      </c>
      <c r="H1342">
        <v>26400.080000000002</v>
      </c>
      <c r="I1342">
        <v>0</v>
      </c>
      <c r="J1342">
        <v>26400.080000000002</v>
      </c>
      <c r="K1342">
        <v>0</v>
      </c>
      <c r="L1342">
        <v>0</v>
      </c>
    </row>
    <row r="1343" spans="1:12" x14ac:dyDescent="0.25">
      <c r="A1343" t="str">
        <f t="shared" si="20"/>
        <v>9001101491072026M11</v>
      </c>
      <c r="B1343">
        <v>51321001</v>
      </c>
      <c r="C1343">
        <v>14</v>
      </c>
      <c r="D1343">
        <v>900110</v>
      </c>
      <c r="E1343">
        <v>149107</v>
      </c>
      <c r="F1343" t="s">
        <v>115</v>
      </c>
      <c r="G1343" t="s">
        <v>73</v>
      </c>
      <c r="H1343">
        <v>23200</v>
      </c>
      <c r="I1343">
        <v>0</v>
      </c>
      <c r="J1343">
        <v>23200</v>
      </c>
      <c r="K1343">
        <v>0</v>
      </c>
      <c r="L1343">
        <v>0</v>
      </c>
    </row>
    <row r="1344" spans="1:12" x14ac:dyDescent="0.25">
      <c r="A1344" t="str">
        <f t="shared" si="20"/>
        <v>9001101491072026M12</v>
      </c>
      <c r="B1344">
        <v>51321001</v>
      </c>
      <c r="C1344">
        <v>14</v>
      </c>
      <c r="D1344">
        <v>900110</v>
      </c>
      <c r="E1344">
        <v>149107</v>
      </c>
      <c r="F1344" t="s">
        <v>115</v>
      </c>
      <c r="G1344" t="s">
        <v>74</v>
      </c>
      <c r="H1344">
        <v>46400</v>
      </c>
      <c r="I1344">
        <v>0</v>
      </c>
      <c r="J1344">
        <v>46400</v>
      </c>
      <c r="K1344">
        <v>0</v>
      </c>
      <c r="L1344">
        <v>0</v>
      </c>
    </row>
    <row r="1345" spans="1:12" x14ac:dyDescent="0.25">
      <c r="A1345" t="str">
        <f t="shared" si="20"/>
        <v>9101001490012026M02</v>
      </c>
      <c r="B1345">
        <v>51321001</v>
      </c>
      <c r="C1345">
        <v>14</v>
      </c>
      <c r="D1345">
        <v>910100</v>
      </c>
      <c r="E1345">
        <v>149001</v>
      </c>
      <c r="F1345" t="s">
        <v>115</v>
      </c>
      <c r="G1345" t="s">
        <v>64</v>
      </c>
      <c r="H1345">
        <v>0</v>
      </c>
      <c r="I1345">
        <v>0</v>
      </c>
      <c r="J1345">
        <v>0</v>
      </c>
      <c r="K1345">
        <v>0</v>
      </c>
      <c r="L1345">
        <v>0</v>
      </c>
    </row>
    <row r="1346" spans="1:12" x14ac:dyDescent="0.25">
      <c r="A1346" t="str">
        <f t="shared" si="20"/>
        <v>9101001490012026M03</v>
      </c>
      <c r="B1346">
        <v>51321001</v>
      </c>
      <c r="C1346">
        <v>14</v>
      </c>
      <c r="D1346">
        <v>910100</v>
      </c>
      <c r="E1346">
        <v>149001</v>
      </c>
      <c r="F1346" t="s">
        <v>115</v>
      </c>
      <c r="G1346" t="s">
        <v>65</v>
      </c>
      <c r="H1346">
        <v>0</v>
      </c>
      <c r="I1346">
        <v>0</v>
      </c>
      <c r="J1346">
        <v>0</v>
      </c>
      <c r="K1346">
        <v>0</v>
      </c>
      <c r="L1346">
        <v>0</v>
      </c>
    </row>
    <row r="1347" spans="1:12" x14ac:dyDescent="0.25">
      <c r="A1347" t="str">
        <f t="shared" si="20"/>
        <v>9101001490012026M04</v>
      </c>
      <c r="B1347">
        <v>51321001</v>
      </c>
      <c r="C1347">
        <v>14</v>
      </c>
      <c r="D1347">
        <v>910100</v>
      </c>
      <c r="E1347">
        <v>149001</v>
      </c>
      <c r="F1347" t="s">
        <v>115</v>
      </c>
      <c r="G1347" t="s">
        <v>66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x14ac:dyDescent="0.25">
      <c r="A1348" t="str">
        <f t="shared" si="20"/>
        <v>9101001490012026M05</v>
      </c>
      <c r="B1348">
        <v>51321001</v>
      </c>
      <c r="C1348">
        <v>14</v>
      </c>
      <c r="D1348">
        <v>910100</v>
      </c>
      <c r="E1348">
        <v>149001</v>
      </c>
      <c r="F1348" t="s">
        <v>115</v>
      </c>
      <c r="G1348" t="s">
        <v>67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 spans="1:12" x14ac:dyDescent="0.25">
      <c r="A1349" t="str">
        <f t="shared" si="20"/>
        <v>9101001490012026M06</v>
      </c>
      <c r="B1349">
        <v>51321001</v>
      </c>
      <c r="C1349">
        <v>14</v>
      </c>
      <c r="D1349">
        <v>910100</v>
      </c>
      <c r="E1349">
        <v>149001</v>
      </c>
      <c r="F1349" t="s">
        <v>115</v>
      </c>
      <c r="G1349" t="s">
        <v>68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x14ac:dyDescent="0.25">
      <c r="A1350" t="str">
        <f t="shared" si="20"/>
        <v>9101001490012026M07</v>
      </c>
      <c r="B1350">
        <v>51321001</v>
      </c>
      <c r="C1350">
        <v>14</v>
      </c>
      <c r="D1350">
        <v>910100</v>
      </c>
      <c r="E1350">
        <v>149001</v>
      </c>
      <c r="F1350" t="s">
        <v>115</v>
      </c>
      <c r="G1350" t="s">
        <v>69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25">
      <c r="A1351" t="str">
        <f t="shared" si="20"/>
        <v>9101001490012026M08</v>
      </c>
      <c r="B1351">
        <v>51321001</v>
      </c>
      <c r="C1351">
        <v>14</v>
      </c>
      <c r="D1351">
        <v>910100</v>
      </c>
      <c r="E1351">
        <v>149001</v>
      </c>
      <c r="F1351" t="s">
        <v>115</v>
      </c>
      <c r="G1351" t="s">
        <v>70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x14ac:dyDescent="0.25">
      <c r="A1352" t="str">
        <f t="shared" si="20"/>
        <v>9101001490012026M09</v>
      </c>
      <c r="B1352">
        <v>51321001</v>
      </c>
      <c r="C1352">
        <v>14</v>
      </c>
      <c r="D1352">
        <v>910100</v>
      </c>
      <c r="E1352">
        <v>149001</v>
      </c>
      <c r="F1352" t="s">
        <v>115</v>
      </c>
      <c r="G1352" t="s">
        <v>71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 spans="1:12" x14ac:dyDescent="0.25">
      <c r="A1353" t="str">
        <f t="shared" si="20"/>
        <v>9101001490012026M10</v>
      </c>
      <c r="B1353">
        <v>51321001</v>
      </c>
      <c r="C1353">
        <v>14</v>
      </c>
      <c r="D1353">
        <v>910100</v>
      </c>
      <c r="E1353">
        <v>149001</v>
      </c>
      <c r="F1353" t="s">
        <v>115</v>
      </c>
      <c r="G1353" t="s">
        <v>72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25">
      <c r="A1354" t="str">
        <f t="shared" si="20"/>
        <v>9101001490012026M11</v>
      </c>
      <c r="B1354">
        <v>51321001</v>
      </c>
      <c r="C1354">
        <v>14</v>
      </c>
      <c r="D1354">
        <v>910100</v>
      </c>
      <c r="E1354">
        <v>149001</v>
      </c>
      <c r="F1354" t="s">
        <v>115</v>
      </c>
      <c r="G1354" t="s">
        <v>73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x14ac:dyDescent="0.25">
      <c r="A1355" t="str">
        <f t="shared" ref="A1355:A1418" si="21">D1355&amp;E1355&amp;G1355</f>
        <v>9101001490012026M12</v>
      </c>
      <c r="B1355">
        <v>51321001</v>
      </c>
      <c r="C1355">
        <v>14</v>
      </c>
      <c r="D1355">
        <v>910100</v>
      </c>
      <c r="E1355">
        <v>149001</v>
      </c>
      <c r="F1355" t="s">
        <v>115</v>
      </c>
      <c r="G1355" t="s">
        <v>74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5">
      <c r="A1356" t="str">
        <f t="shared" si="21"/>
        <v>1301001590012026M02</v>
      </c>
      <c r="B1356">
        <v>51321001</v>
      </c>
      <c r="C1356">
        <v>15</v>
      </c>
      <c r="D1356">
        <v>130100</v>
      </c>
      <c r="E1356">
        <v>159001</v>
      </c>
      <c r="F1356" t="s">
        <v>115</v>
      </c>
      <c r="G1356" t="s">
        <v>64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x14ac:dyDescent="0.25">
      <c r="A1357" t="str">
        <f t="shared" si="21"/>
        <v>1301001590012026M03</v>
      </c>
      <c r="B1357">
        <v>51321001</v>
      </c>
      <c r="C1357">
        <v>15</v>
      </c>
      <c r="D1357">
        <v>130100</v>
      </c>
      <c r="E1357">
        <v>159001</v>
      </c>
      <c r="F1357" t="s">
        <v>115</v>
      </c>
      <c r="G1357" t="s">
        <v>65</v>
      </c>
      <c r="H1357">
        <v>0</v>
      </c>
      <c r="I1357">
        <v>0</v>
      </c>
      <c r="J1357">
        <v>0</v>
      </c>
      <c r="K1357">
        <v>0</v>
      </c>
      <c r="L1357">
        <v>0</v>
      </c>
    </row>
    <row r="1358" spans="1:12" x14ac:dyDescent="0.25">
      <c r="A1358" t="str">
        <f t="shared" si="21"/>
        <v>1301001590012026M04</v>
      </c>
      <c r="B1358">
        <v>51321001</v>
      </c>
      <c r="C1358">
        <v>15</v>
      </c>
      <c r="D1358">
        <v>130100</v>
      </c>
      <c r="E1358">
        <v>159001</v>
      </c>
      <c r="F1358" t="s">
        <v>115</v>
      </c>
      <c r="G1358" t="s">
        <v>66</v>
      </c>
      <c r="H1358">
        <v>5764135.4100000001</v>
      </c>
      <c r="I1358">
        <v>5764135.4100000001</v>
      </c>
      <c r="J1358">
        <v>0</v>
      </c>
      <c r="K1358">
        <v>0</v>
      </c>
      <c r="L1358">
        <v>0</v>
      </c>
    </row>
    <row r="1359" spans="1:12" x14ac:dyDescent="0.25">
      <c r="A1359" t="str">
        <f t="shared" si="21"/>
        <v>1301001590012026M05</v>
      </c>
      <c r="B1359">
        <v>51321001</v>
      </c>
      <c r="C1359">
        <v>15</v>
      </c>
      <c r="D1359">
        <v>130100</v>
      </c>
      <c r="E1359">
        <v>159001</v>
      </c>
      <c r="F1359" t="s">
        <v>115</v>
      </c>
      <c r="G1359" t="s">
        <v>67</v>
      </c>
      <c r="H1359">
        <v>1921378.47</v>
      </c>
      <c r="I1359">
        <v>1921378.47</v>
      </c>
      <c r="J1359">
        <v>0</v>
      </c>
      <c r="K1359">
        <v>0</v>
      </c>
      <c r="L1359">
        <v>0</v>
      </c>
    </row>
    <row r="1360" spans="1:12" x14ac:dyDescent="0.25">
      <c r="A1360" t="str">
        <f t="shared" si="21"/>
        <v>1301001590012026M06</v>
      </c>
      <c r="B1360">
        <v>51321001</v>
      </c>
      <c r="C1360">
        <v>15</v>
      </c>
      <c r="D1360">
        <v>130100</v>
      </c>
      <c r="E1360">
        <v>159001</v>
      </c>
      <c r="F1360" t="s">
        <v>115</v>
      </c>
      <c r="G1360" t="s">
        <v>68</v>
      </c>
      <c r="H1360">
        <v>1921378.47</v>
      </c>
      <c r="I1360">
        <v>1921378.47</v>
      </c>
      <c r="J1360">
        <v>0</v>
      </c>
      <c r="K1360">
        <v>0</v>
      </c>
      <c r="L1360">
        <v>0</v>
      </c>
    </row>
    <row r="1361" spans="1:12" x14ac:dyDescent="0.25">
      <c r="A1361" t="str">
        <f t="shared" si="21"/>
        <v>1301001590012026M07</v>
      </c>
      <c r="B1361">
        <v>51321001</v>
      </c>
      <c r="C1361">
        <v>15</v>
      </c>
      <c r="D1361">
        <v>130100</v>
      </c>
      <c r="E1361">
        <v>159001</v>
      </c>
      <c r="F1361" t="s">
        <v>115</v>
      </c>
      <c r="G1361" t="s">
        <v>69</v>
      </c>
      <c r="H1361">
        <v>1921378.47</v>
      </c>
      <c r="I1361">
        <v>1921378.47</v>
      </c>
      <c r="J1361">
        <v>0</v>
      </c>
      <c r="K1361">
        <v>0</v>
      </c>
      <c r="L1361">
        <v>0</v>
      </c>
    </row>
    <row r="1362" spans="1:12" x14ac:dyDescent="0.25">
      <c r="A1362" t="str">
        <f t="shared" si="21"/>
        <v>1301001590012026M08</v>
      </c>
      <c r="B1362">
        <v>51321001</v>
      </c>
      <c r="C1362">
        <v>15</v>
      </c>
      <c r="D1362">
        <v>130100</v>
      </c>
      <c r="E1362">
        <v>159001</v>
      </c>
      <c r="F1362" t="s">
        <v>115</v>
      </c>
      <c r="G1362" t="s">
        <v>70</v>
      </c>
      <c r="H1362">
        <v>1921378.47</v>
      </c>
      <c r="I1362">
        <v>1921378.47</v>
      </c>
      <c r="J1362">
        <v>0</v>
      </c>
      <c r="K1362">
        <v>0</v>
      </c>
      <c r="L1362">
        <v>0</v>
      </c>
    </row>
    <row r="1363" spans="1:12" x14ac:dyDescent="0.25">
      <c r="A1363" t="str">
        <f t="shared" si="21"/>
        <v>1301001590012026M09</v>
      </c>
      <c r="B1363">
        <v>51321001</v>
      </c>
      <c r="C1363">
        <v>15</v>
      </c>
      <c r="D1363">
        <v>130100</v>
      </c>
      <c r="E1363">
        <v>159001</v>
      </c>
      <c r="F1363" t="s">
        <v>115</v>
      </c>
      <c r="G1363" t="s">
        <v>71</v>
      </c>
      <c r="H1363">
        <v>1921378.47</v>
      </c>
      <c r="I1363">
        <v>1921378.47</v>
      </c>
      <c r="J1363">
        <v>0</v>
      </c>
      <c r="K1363">
        <v>0</v>
      </c>
      <c r="L1363">
        <v>0</v>
      </c>
    </row>
    <row r="1364" spans="1:12" x14ac:dyDescent="0.25">
      <c r="A1364" t="str">
        <f t="shared" si="21"/>
        <v>1301001590012026M10</v>
      </c>
      <c r="B1364">
        <v>51321001</v>
      </c>
      <c r="C1364">
        <v>15</v>
      </c>
      <c r="D1364">
        <v>130100</v>
      </c>
      <c r="E1364">
        <v>159001</v>
      </c>
      <c r="F1364" t="s">
        <v>115</v>
      </c>
      <c r="G1364" t="s">
        <v>72</v>
      </c>
      <c r="H1364">
        <v>1921383.24</v>
      </c>
      <c r="I1364">
        <v>0</v>
      </c>
      <c r="J1364">
        <v>1921383.24</v>
      </c>
      <c r="K1364">
        <v>0</v>
      </c>
      <c r="L1364">
        <v>0</v>
      </c>
    </row>
    <row r="1365" spans="1:12" x14ac:dyDescent="0.25">
      <c r="A1365" t="str">
        <f t="shared" si="21"/>
        <v>1301001590012026M11</v>
      </c>
      <c r="B1365">
        <v>51321001</v>
      </c>
      <c r="C1365">
        <v>15</v>
      </c>
      <c r="D1365">
        <v>130100</v>
      </c>
      <c r="E1365">
        <v>159001</v>
      </c>
      <c r="F1365" t="s">
        <v>115</v>
      </c>
      <c r="G1365" t="s">
        <v>73</v>
      </c>
      <c r="H1365">
        <v>1921379</v>
      </c>
      <c r="I1365">
        <v>0</v>
      </c>
      <c r="J1365">
        <v>1921379</v>
      </c>
      <c r="K1365">
        <v>0</v>
      </c>
      <c r="L1365">
        <v>0</v>
      </c>
    </row>
    <row r="1366" spans="1:12" x14ac:dyDescent="0.25">
      <c r="A1366" t="str">
        <f t="shared" si="21"/>
        <v>1301001590012026M12</v>
      </c>
      <c r="B1366">
        <v>51321001</v>
      </c>
      <c r="C1366">
        <v>15</v>
      </c>
      <c r="D1366">
        <v>130100</v>
      </c>
      <c r="E1366">
        <v>159001</v>
      </c>
      <c r="F1366" t="s">
        <v>115</v>
      </c>
      <c r="G1366" t="s">
        <v>74</v>
      </c>
      <c r="H1366">
        <v>3842751.64</v>
      </c>
      <c r="I1366">
        <v>0</v>
      </c>
      <c r="J1366">
        <v>3842751.64</v>
      </c>
      <c r="K1366">
        <v>0</v>
      </c>
      <c r="L1366">
        <v>0</v>
      </c>
    </row>
    <row r="1367" spans="1:12" x14ac:dyDescent="0.25">
      <c r="A1367" t="str">
        <f t="shared" si="21"/>
        <v>501001690012026M02</v>
      </c>
      <c r="B1367">
        <v>51321001</v>
      </c>
      <c r="C1367">
        <v>16</v>
      </c>
      <c r="D1367">
        <v>50100</v>
      </c>
      <c r="E1367">
        <v>169001</v>
      </c>
      <c r="F1367" t="s">
        <v>115</v>
      </c>
      <c r="G1367" t="s">
        <v>64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x14ac:dyDescent="0.25">
      <c r="A1368" t="str">
        <f t="shared" si="21"/>
        <v>501001690012026M03</v>
      </c>
      <c r="B1368">
        <v>51321001</v>
      </c>
      <c r="C1368">
        <v>16</v>
      </c>
      <c r="D1368">
        <v>50100</v>
      </c>
      <c r="E1368">
        <v>169001</v>
      </c>
      <c r="F1368" t="s">
        <v>115</v>
      </c>
      <c r="G1368" t="s">
        <v>65</v>
      </c>
      <c r="H1368">
        <v>45000</v>
      </c>
      <c r="I1368">
        <v>45000</v>
      </c>
      <c r="J1368">
        <v>0</v>
      </c>
      <c r="K1368">
        <v>0</v>
      </c>
      <c r="L1368">
        <v>0</v>
      </c>
    </row>
    <row r="1369" spans="1:12" x14ac:dyDescent="0.25">
      <c r="A1369" t="str">
        <f t="shared" si="21"/>
        <v>501001690012026M04</v>
      </c>
      <c r="B1369">
        <v>51321001</v>
      </c>
      <c r="C1369">
        <v>16</v>
      </c>
      <c r="D1369">
        <v>50100</v>
      </c>
      <c r="E1369">
        <v>169001</v>
      </c>
      <c r="F1369" t="s">
        <v>115</v>
      </c>
      <c r="G1369" t="s">
        <v>66</v>
      </c>
      <c r="H1369">
        <v>22500</v>
      </c>
      <c r="I1369">
        <v>22500</v>
      </c>
      <c r="J1369">
        <v>0</v>
      </c>
      <c r="K1369">
        <v>0</v>
      </c>
      <c r="L1369">
        <v>0</v>
      </c>
    </row>
    <row r="1370" spans="1:12" x14ac:dyDescent="0.25">
      <c r="A1370" t="str">
        <f t="shared" si="21"/>
        <v>501001690012026M05</v>
      </c>
      <c r="B1370">
        <v>51321001</v>
      </c>
      <c r="C1370">
        <v>16</v>
      </c>
      <c r="D1370">
        <v>50100</v>
      </c>
      <c r="E1370">
        <v>169001</v>
      </c>
      <c r="F1370" t="s">
        <v>115</v>
      </c>
      <c r="G1370" t="s">
        <v>67</v>
      </c>
      <c r="H1370">
        <v>22500</v>
      </c>
      <c r="I1370">
        <v>22500</v>
      </c>
      <c r="J1370">
        <v>0</v>
      </c>
      <c r="K1370">
        <v>0</v>
      </c>
      <c r="L1370">
        <v>0</v>
      </c>
    </row>
    <row r="1371" spans="1:12" x14ac:dyDescent="0.25">
      <c r="A1371" t="str">
        <f t="shared" si="21"/>
        <v>501001690012026M06</v>
      </c>
      <c r="B1371">
        <v>51321001</v>
      </c>
      <c r="C1371">
        <v>16</v>
      </c>
      <c r="D1371">
        <v>50100</v>
      </c>
      <c r="E1371">
        <v>169001</v>
      </c>
      <c r="F1371" t="s">
        <v>115</v>
      </c>
      <c r="G1371" t="s">
        <v>68</v>
      </c>
      <c r="H1371">
        <v>22500</v>
      </c>
      <c r="I1371">
        <v>22500</v>
      </c>
      <c r="J1371">
        <v>0</v>
      </c>
      <c r="K1371">
        <v>0</v>
      </c>
      <c r="L1371">
        <v>0</v>
      </c>
    </row>
    <row r="1372" spans="1:12" x14ac:dyDescent="0.25">
      <c r="A1372" t="str">
        <f t="shared" si="21"/>
        <v>501001690012026M07</v>
      </c>
      <c r="B1372">
        <v>51321001</v>
      </c>
      <c r="C1372">
        <v>16</v>
      </c>
      <c r="D1372">
        <v>50100</v>
      </c>
      <c r="E1372">
        <v>169001</v>
      </c>
      <c r="F1372" t="s">
        <v>115</v>
      </c>
      <c r="G1372" t="s">
        <v>69</v>
      </c>
      <c r="H1372">
        <v>22500</v>
      </c>
      <c r="I1372">
        <v>22500</v>
      </c>
      <c r="J1372">
        <v>0</v>
      </c>
      <c r="K1372">
        <v>0</v>
      </c>
      <c r="L1372">
        <v>0</v>
      </c>
    </row>
    <row r="1373" spans="1:12" x14ac:dyDescent="0.25">
      <c r="A1373" t="str">
        <f t="shared" si="21"/>
        <v>501001690012026M08</v>
      </c>
      <c r="B1373">
        <v>51321001</v>
      </c>
      <c r="C1373">
        <v>16</v>
      </c>
      <c r="D1373">
        <v>50100</v>
      </c>
      <c r="E1373">
        <v>169001</v>
      </c>
      <c r="F1373" t="s">
        <v>115</v>
      </c>
      <c r="G1373" t="s">
        <v>70</v>
      </c>
      <c r="H1373">
        <v>22500</v>
      </c>
      <c r="I1373">
        <v>22500</v>
      </c>
      <c r="J1373">
        <v>0</v>
      </c>
      <c r="K1373">
        <v>0</v>
      </c>
      <c r="L1373">
        <v>0</v>
      </c>
    </row>
    <row r="1374" spans="1:12" x14ac:dyDescent="0.25">
      <c r="A1374" t="str">
        <f t="shared" si="21"/>
        <v>501001690012026M09</v>
      </c>
      <c r="B1374">
        <v>51321001</v>
      </c>
      <c r="C1374">
        <v>16</v>
      </c>
      <c r="D1374">
        <v>50100</v>
      </c>
      <c r="E1374">
        <v>169001</v>
      </c>
      <c r="F1374" t="s">
        <v>115</v>
      </c>
      <c r="G1374" t="s">
        <v>71</v>
      </c>
      <c r="H1374">
        <v>22500</v>
      </c>
      <c r="I1374">
        <v>22500</v>
      </c>
      <c r="J1374">
        <v>0</v>
      </c>
      <c r="K1374">
        <v>0</v>
      </c>
      <c r="L1374">
        <v>0</v>
      </c>
    </row>
    <row r="1375" spans="1:12" x14ac:dyDescent="0.25">
      <c r="A1375" t="str">
        <f t="shared" si="21"/>
        <v>501001690012026M10</v>
      </c>
      <c r="B1375">
        <v>51321001</v>
      </c>
      <c r="C1375">
        <v>16</v>
      </c>
      <c r="D1375">
        <v>50100</v>
      </c>
      <c r="E1375">
        <v>169001</v>
      </c>
      <c r="F1375" t="s">
        <v>115</v>
      </c>
      <c r="G1375" t="s">
        <v>72</v>
      </c>
      <c r="H1375">
        <v>22500</v>
      </c>
      <c r="I1375">
        <v>0</v>
      </c>
      <c r="J1375">
        <v>22500</v>
      </c>
      <c r="K1375">
        <v>0</v>
      </c>
      <c r="L1375">
        <v>0</v>
      </c>
    </row>
    <row r="1376" spans="1:12" x14ac:dyDescent="0.25">
      <c r="A1376" t="str">
        <f t="shared" si="21"/>
        <v>501001690012026M11</v>
      </c>
      <c r="B1376">
        <v>51321001</v>
      </c>
      <c r="C1376">
        <v>16</v>
      </c>
      <c r="D1376">
        <v>50100</v>
      </c>
      <c r="E1376">
        <v>169001</v>
      </c>
      <c r="F1376" t="s">
        <v>115</v>
      </c>
      <c r="G1376" t="s">
        <v>73</v>
      </c>
      <c r="H1376">
        <v>22500</v>
      </c>
      <c r="I1376">
        <v>0</v>
      </c>
      <c r="J1376">
        <v>22500</v>
      </c>
      <c r="K1376">
        <v>0</v>
      </c>
      <c r="L1376">
        <v>0</v>
      </c>
    </row>
    <row r="1377" spans="1:12" x14ac:dyDescent="0.25">
      <c r="A1377" t="str">
        <f t="shared" si="21"/>
        <v>501001690012026M12</v>
      </c>
      <c r="B1377">
        <v>51321001</v>
      </c>
      <c r="C1377">
        <v>16</v>
      </c>
      <c r="D1377">
        <v>50100</v>
      </c>
      <c r="E1377">
        <v>169001</v>
      </c>
      <c r="F1377" t="s">
        <v>115</v>
      </c>
      <c r="G1377" t="s">
        <v>74</v>
      </c>
      <c r="H1377">
        <v>45000</v>
      </c>
      <c r="I1377">
        <v>0</v>
      </c>
      <c r="J1377">
        <v>45000</v>
      </c>
      <c r="K1377">
        <v>0</v>
      </c>
      <c r="L1377">
        <v>0</v>
      </c>
    </row>
    <row r="1378" spans="1:12" x14ac:dyDescent="0.25">
      <c r="A1378" t="str">
        <f t="shared" si="21"/>
        <v>7310016P9012026M02</v>
      </c>
      <c r="B1378">
        <v>51321001</v>
      </c>
      <c r="C1378">
        <v>16</v>
      </c>
      <c r="D1378">
        <v>73100</v>
      </c>
      <c r="E1378" t="s">
        <v>82</v>
      </c>
      <c r="F1378" t="s">
        <v>115</v>
      </c>
      <c r="G1378" t="s">
        <v>64</v>
      </c>
      <c r="H1378">
        <v>0</v>
      </c>
      <c r="I1378">
        <v>0</v>
      </c>
      <c r="J1378">
        <v>0</v>
      </c>
      <c r="K1378">
        <v>0</v>
      </c>
      <c r="L1378">
        <v>0</v>
      </c>
    </row>
    <row r="1379" spans="1:12" x14ac:dyDescent="0.25">
      <c r="A1379" t="str">
        <f t="shared" si="21"/>
        <v>7310016P9012026M03</v>
      </c>
      <c r="B1379">
        <v>51321001</v>
      </c>
      <c r="C1379">
        <v>16</v>
      </c>
      <c r="D1379">
        <v>73100</v>
      </c>
      <c r="E1379" t="s">
        <v>82</v>
      </c>
      <c r="F1379" t="s">
        <v>115</v>
      </c>
      <c r="G1379" t="s">
        <v>65</v>
      </c>
      <c r="H1379">
        <v>0</v>
      </c>
      <c r="I1379">
        <v>0</v>
      </c>
      <c r="J1379">
        <v>0</v>
      </c>
      <c r="K1379">
        <v>0</v>
      </c>
      <c r="L1379">
        <v>0</v>
      </c>
    </row>
    <row r="1380" spans="1:12" x14ac:dyDescent="0.25">
      <c r="A1380" t="str">
        <f t="shared" si="21"/>
        <v>7310016P9012026M04</v>
      </c>
      <c r="B1380">
        <v>51321001</v>
      </c>
      <c r="C1380">
        <v>16</v>
      </c>
      <c r="D1380">
        <v>73100</v>
      </c>
      <c r="E1380" t="s">
        <v>82</v>
      </c>
      <c r="F1380" t="s">
        <v>115</v>
      </c>
      <c r="G1380" t="s">
        <v>66</v>
      </c>
      <c r="H1380">
        <v>0</v>
      </c>
      <c r="I1380">
        <v>0</v>
      </c>
      <c r="J1380">
        <v>0</v>
      </c>
      <c r="K1380">
        <v>0</v>
      </c>
      <c r="L1380">
        <v>0</v>
      </c>
    </row>
    <row r="1381" spans="1:12" x14ac:dyDescent="0.25">
      <c r="A1381" t="str">
        <f t="shared" si="21"/>
        <v>7310016P9012026M05</v>
      </c>
      <c r="B1381">
        <v>51321001</v>
      </c>
      <c r="C1381">
        <v>16</v>
      </c>
      <c r="D1381">
        <v>73100</v>
      </c>
      <c r="E1381" t="s">
        <v>82</v>
      </c>
      <c r="F1381" t="s">
        <v>115</v>
      </c>
      <c r="G1381" t="s">
        <v>67</v>
      </c>
      <c r="H1381">
        <v>97999.96</v>
      </c>
      <c r="I1381">
        <v>97999.96</v>
      </c>
      <c r="J1381">
        <v>0</v>
      </c>
      <c r="K1381">
        <v>0</v>
      </c>
      <c r="L1381">
        <v>0</v>
      </c>
    </row>
    <row r="1382" spans="1:12" x14ac:dyDescent="0.25">
      <c r="A1382" t="str">
        <f t="shared" si="21"/>
        <v>7310016P9012026M06</v>
      </c>
      <c r="B1382">
        <v>51321001</v>
      </c>
      <c r="C1382">
        <v>16</v>
      </c>
      <c r="D1382">
        <v>73100</v>
      </c>
      <c r="E1382" t="s">
        <v>82</v>
      </c>
      <c r="F1382" t="s">
        <v>115</v>
      </c>
      <c r="G1382" t="s">
        <v>68</v>
      </c>
      <c r="H1382">
        <v>24499.99</v>
      </c>
      <c r="I1382">
        <v>24499.99</v>
      </c>
      <c r="J1382">
        <v>0</v>
      </c>
      <c r="K1382">
        <v>0</v>
      </c>
      <c r="L1382">
        <v>0</v>
      </c>
    </row>
    <row r="1383" spans="1:12" x14ac:dyDescent="0.25">
      <c r="A1383" t="str">
        <f t="shared" si="21"/>
        <v>7310016P9012026M07</v>
      </c>
      <c r="B1383">
        <v>51321001</v>
      </c>
      <c r="C1383">
        <v>16</v>
      </c>
      <c r="D1383">
        <v>73100</v>
      </c>
      <c r="E1383" t="s">
        <v>82</v>
      </c>
      <c r="F1383" t="s">
        <v>115</v>
      </c>
      <c r="G1383" t="s">
        <v>69</v>
      </c>
      <c r="H1383">
        <v>24499.99</v>
      </c>
      <c r="I1383">
        <v>24499.99</v>
      </c>
      <c r="J1383">
        <v>0</v>
      </c>
      <c r="K1383">
        <v>0</v>
      </c>
      <c r="L1383">
        <v>0</v>
      </c>
    </row>
    <row r="1384" spans="1:12" x14ac:dyDescent="0.25">
      <c r="A1384" t="str">
        <f t="shared" si="21"/>
        <v>7310016P9012026M08</v>
      </c>
      <c r="B1384">
        <v>51321001</v>
      </c>
      <c r="C1384">
        <v>16</v>
      </c>
      <c r="D1384">
        <v>73100</v>
      </c>
      <c r="E1384" t="s">
        <v>82</v>
      </c>
      <c r="F1384" t="s">
        <v>115</v>
      </c>
      <c r="G1384" t="s">
        <v>70</v>
      </c>
      <c r="H1384">
        <v>24499.99</v>
      </c>
      <c r="I1384">
        <v>24499.99</v>
      </c>
      <c r="J1384">
        <v>0</v>
      </c>
      <c r="K1384">
        <v>0</v>
      </c>
      <c r="L1384">
        <v>0</v>
      </c>
    </row>
    <row r="1385" spans="1:12" x14ac:dyDescent="0.25">
      <c r="A1385" t="str">
        <f t="shared" si="21"/>
        <v>7310016P9012026M09</v>
      </c>
      <c r="B1385">
        <v>51321001</v>
      </c>
      <c r="C1385">
        <v>16</v>
      </c>
      <c r="D1385">
        <v>73100</v>
      </c>
      <c r="E1385" t="s">
        <v>82</v>
      </c>
      <c r="F1385" t="s">
        <v>115</v>
      </c>
      <c r="G1385" t="s">
        <v>71</v>
      </c>
      <c r="H1385">
        <v>24499.99</v>
      </c>
      <c r="I1385">
        <v>24499.99</v>
      </c>
      <c r="J1385">
        <v>0</v>
      </c>
      <c r="K1385">
        <v>0</v>
      </c>
      <c r="L1385">
        <v>0</v>
      </c>
    </row>
    <row r="1386" spans="1:12" x14ac:dyDescent="0.25">
      <c r="A1386" t="str">
        <f t="shared" si="21"/>
        <v>7310016P9012026M10</v>
      </c>
      <c r="B1386">
        <v>51321001</v>
      </c>
      <c r="C1386">
        <v>16</v>
      </c>
      <c r="D1386">
        <v>73100</v>
      </c>
      <c r="E1386" t="s">
        <v>82</v>
      </c>
      <c r="F1386" t="s">
        <v>115</v>
      </c>
      <c r="G1386" t="s">
        <v>72</v>
      </c>
      <c r="H1386">
        <v>24500.080000000002</v>
      </c>
      <c r="I1386">
        <v>0</v>
      </c>
      <c r="J1386">
        <v>24500.080000000002</v>
      </c>
      <c r="K1386">
        <v>0</v>
      </c>
      <c r="L1386">
        <v>0</v>
      </c>
    </row>
    <row r="1387" spans="1:12" x14ac:dyDescent="0.25">
      <c r="A1387" t="str">
        <f t="shared" si="21"/>
        <v>7310016P9012026M11</v>
      </c>
      <c r="B1387">
        <v>51321001</v>
      </c>
      <c r="C1387">
        <v>16</v>
      </c>
      <c r="D1387">
        <v>73100</v>
      </c>
      <c r="E1387" t="s">
        <v>82</v>
      </c>
      <c r="F1387" t="s">
        <v>115</v>
      </c>
      <c r="G1387" t="s">
        <v>73</v>
      </c>
      <c r="H1387">
        <v>24500</v>
      </c>
      <c r="I1387">
        <v>0</v>
      </c>
      <c r="J1387">
        <v>24500</v>
      </c>
      <c r="K1387">
        <v>0</v>
      </c>
      <c r="L1387">
        <v>0</v>
      </c>
    </row>
    <row r="1388" spans="1:12" x14ac:dyDescent="0.25">
      <c r="A1388" t="str">
        <f t="shared" si="21"/>
        <v>7310016P9012026M12</v>
      </c>
      <c r="B1388">
        <v>51321001</v>
      </c>
      <c r="C1388">
        <v>16</v>
      </c>
      <c r="D1388">
        <v>73100</v>
      </c>
      <c r="E1388" t="s">
        <v>82</v>
      </c>
      <c r="F1388" t="s">
        <v>115</v>
      </c>
      <c r="G1388" t="s">
        <v>74</v>
      </c>
      <c r="H1388">
        <v>49000</v>
      </c>
      <c r="I1388">
        <v>0</v>
      </c>
      <c r="J1388">
        <v>49000</v>
      </c>
      <c r="K1388">
        <v>0</v>
      </c>
      <c r="L1388">
        <v>0</v>
      </c>
    </row>
    <row r="1389" spans="1:12" x14ac:dyDescent="0.25">
      <c r="A1389" t="str">
        <f t="shared" si="21"/>
        <v>1301001690012026M02</v>
      </c>
      <c r="B1389">
        <v>51321001</v>
      </c>
      <c r="C1389">
        <v>16</v>
      </c>
      <c r="D1389">
        <v>130100</v>
      </c>
      <c r="E1389">
        <v>169001</v>
      </c>
      <c r="F1389" t="s">
        <v>115</v>
      </c>
      <c r="G1389" t="s">
        <v>64</v>
      </c>
      <c r="H1389">
        <v>0</v>
      </c>
      <c r="I1389">
        <v>0</v>
      </c>
      <c r="J1389">
        <v>0</v>
      </c>
      <c r="K1389">
        <v>0</v>
      </c>
      <c r="L1389">
        <v>0</v>
      </c>
    </row>
    <row r="1390" spans="1:12" x14ac:dyDescent="0.25">
      <c r="A1390" t="str">
        <f t="shared" si="21"/>
        <v>1301001690012026M03</v>
      </c>
      <c r="B1390">
        <v>51321001</v>
      </c>
      <c r="C1390">
        <v>16</v>
      </c>
      <c r="D1390">
        <v>130100</v>
      </c>
      <c r="E1390">
        <v>169001</v>
      </c>
      <c r="F1390" t="s">
        <v>115</v>
      </c>
      <c r="G1390" t="s">
        <v>65</v>
      </c>
      <c r="H1390">
        <v>0</v>
      </c>
      <c r="I1390">
        <v>0</v>
      </c>
      <c r="J1390">
        <v>0</v>
      </c>
      <c r="K1390">
        <v>0</v>
      </c>
      <c r="L1390">
        <v>0</v>
      </c>
    </row>
    <row r="1391" spans="1:12" x14ac:dyDescent="0.25">
      <c r="A1391" t="str">
        <f t="shared" si="21"/>
        <v>1301001690012026M04</v>
      </c>
      <c r="B1391">
        <v>51321001</v>
      </c>
      <c r="C1391">
        <v>16</v>
      </c>
      <c r="D1391">
        <v>130100</v>
      </c>
      <c r="E1391">
        <v>169001</v>
      </c>
      <c r="F1391" t="s">
        <v>115</v>
      </c>
      <c r="G1391" t="s">
        <v>66</v>
      </c>
      <c r="H1391">
        <v>435000</v>
      </c>
      <c r="I1391">
        <v>435000</v>
      </c>
      <c r="J1391">
        <v>0</v>
      </c>
      <c r="K1391">
        <v>0</v>
      </c>
      <c r="L1391">
        <v>0</v>
      </c>
    </row>
    <row r="1392" spans="1:12" x14ac:dyDescent="0.25">
      <c r="A1392" t="str">
        <f t="shared" si="21"/>
        <v>1301001690012026M05</v>
      </c>
      <c r="B1392">
        <v>51321001</v>
      </c>
      <c r="C1392">
        <v>16</v>
      </c>
      <c r="D1392">
        <v>130100</v>
      </c>
      <c r="E1392">
        <v>169001</v>
      </c>
      <c r="F1392" t="s">
        <v>115</v>
      </c>
      <c r="G1392" t="s">
        <v>67</v>
      </c>
      <c r="H1392">
        <v>145000</v>
      </c>
      <c r="I1392">
        <v>145000</v>
      </c>
      <c r="J1392">
        <v>0</v>
      </c>
      <c r="K1392">
        <v>0</v>
      </c>
      <c r="L1392">
        <v>0</v>
      </c>
    </row>
    <row r="1393" spans="1:12" x14ac:dyDescent="0.25">
      <c r="A1393" t="str">
        <f t="shared" si="21"/>
        <v>1301001690012026M06</v>
      </c>
      <c r="B1393">
        <v>51321001</v>
      </c>
      <c r="C1393">
        <v>16</v>
      </c>
      <c r="D1393">
        <v>130100</v>
      </c>
      <c r="E1393">
        <v>169001</v>
      </c>
      <c r="F1393" t="s">
        <v>115</v>
      </c>
      <c r="G1393" t="s">
        <v>68</v>
      </c>
      <c r="H1393">
        <v>145000</v>
      </c>
      <c r="I1393">
        <v>145000</v>
      </c>
      <c r="J1393">
        <v>0</v>
      </c>
      <c r="K1393">
        <v>0</v>
      </c>
      <c r="L1393">
        <v>0</v>
      </c>
    </row>
    <row r="1394" spans="1:12" x14ac:dyDescent="0.25">
      <c r="A1394" t="str">
        <f t="shared" si="21"/>
        <v>1301001690012026M07</v>
      </c>
      <c r="B1394">
        <v>51321001</v>
      </c>
      <c r="C1394">
        <v>16</v>
      </c>
      <c r="D1394">
        <v>130100</v>
      </c>
      <c r="E1394">
        <v>169001</v>
      </c>
      <c r="F1394" t="s">
        <v>115</v>
      </c>
      <c r="G1394" t="s">
        <v>69</v>
      </c>
      <c r="H1394">
        <v>145000</v>
      </c>
      <c r="I1394">
        <v>145000</v>
      </c>
      <c r="J1394">
        <v>0</v>
      </c>
      <c r="K1394">
        <v>0</v>
      </c>
      <c r="L1394">
        <v>0</v>
      </c>
    </row>
    <row r="1395" spans="1:12" x14ac:dyDescent="0.25">
      <c r="A1395" t="str">
        <f t="shared" si="21"/>
        <v>1301001690012026M08</v>
      </c>
      <c r="B1395">
        <v>51321001</v>
      </c>
      <c r="C1395">
        <v>16</v>
      </c>
      <c r="D1395">
        <v>130100</v>
      </c>
      <c r="E1395">
        <v>169001</v>
      </c>
      <c r="F1395" t="s">
        <v>115</v>
      </c>
      <c r="G1395" t="s">
        <v>70</v>
      </c>
      <c r="H1395">
        <v>145000</v>
      </c>
      <c r="I1395">
        <v>145000</v>
      </c>
      <c r="J1395">
        <v>0</v>
      </c>
      <c r="K1395">
        <v>0</v>
      </c>
      <c r="L1395">
        <v>0</v>
      </c>
    </row>
    <row r="1396" spans="1:12" x14ac:dyDescent="0.25">
      <c r="A1396" t="str">
        <f t="shared" si="21"/>
        <v>1301001690012026M09</v>
      </c>
      <c r="B1396">
        <v>51321001</v>
      </c>
      <c r="C1396">
        <v>16</v>
      </c>
      <c r="D1396">
        <v>130100</v>
      </c>
      <c r="E1396">
        <v>169001</v>
      </c>
      <c r="F1396" t="s">
        <v>115</v>
      </c>
      <c r="G1396" t="s">
        <v>71</v>
      </c>
      <c r="H1396">
        <v>145000</v>
      </c>
      <c r="I1396">
        <v>145000</v>
      </c>
      <c r="J1396">
        <v>0</v>
      </c>
      <c r="K1396">
        <v>0</v>
      </c>
      <c r="L1396">
        <v>0</v>
      </c>
    </row>
    <row r="1397" spans="1:12" x14ac:dyDescent="0.25">
      <c r="A1397" t="str">
        <f t="shared" si="21"/>
        <v>1301001690012026M10</v>
      </c>
      <c r="B1397">
        <v>51321001</v>
      </c>
      <c r="C1397">
        <v>16</v>
      </c>
      <c r="D1397">
        <v>130100</v>
      </c>
      <c r="E1397">
        <v>169001</v>
      </c>
      <c r="F1397" t="s">
        <v>115</v>
      </c>
      <c r="G1397" t="s">
        <v>72</v>
      </c>
      <c r="H1397">
        <v>145000</v>
      </c>
      <c r="I1397">
        <v>0</v>
      </c>
      <c r="J1397">
        <v>145000</v>
      </c>
      <c r="K1397">
        <v>0</v>
      </c>
      <c r="L1397">
        <v>0</v>
      </c>
    </row>
    <row r="1398" spans="1:12" x14ac:dyDescent="0.25">
      <c r="A1398" t="str">
        <f t="shared" si="21"/>
        <v>1301001690012026M11</v>
      </c>
      <c r="B1398">
        <v>51321001</v>
      </c>
      <c r="C1398">
        <v>16</v>
      </c>
      <c r="D1398">
        <v>130100</v>
      </c>
      <c r="E1398">
        <v>169001</v>
      </c>
      <c r="F1398" t="s">
        <v>115</v>
      </c>
      <c r="G1398" t="s">
        <v>73</v>
      </c>
      <c r="H1398">
        <v>145000</v>
      </c>
      <c r="I1398">
        <v>0</v>
      </c>
      <c r="J1398">
        <v>145000</v>
      </c>
      <c r="K1398">
        <v>0</v>
      </c>
      <c r="L1398">
        <v>0</v>
      </c>
    </row>
    <row r="1399" spans="1:12" x14ac:dyDescent="0.25">
      <c r="A1399" t="str">
        <f t="shared" si="21"/>
        <v>1301001690012026M12</v>
      </c>
      <c r="B1399">
        <v>51321001</v>
      </c>
      <c r="C1399">
        <v>16</v>
      </c>
      <c r="D1399">
        <v>130100</v>
      </c>
      <c r="E1399">
        <v>169001</v>
      </c>
      <c r="F1399" t="s">
        <v>115</v>
      </c>
      <c r="G1399" t="s">
        <v>74</v>
      </c>
      <c r="H1399">
        <v>290000</v>
      </c>
      <c r="I1399">
        <v>0</v>
      </c>
      <c r="J1399">
        <v>290000</v>
      </c>
      <c r="K1399">
        <v>0</v>
      </c>
      <c r="L1399">
        <v>0</v>
      </c>
    </row>
    <row r="1400" spans="1:12" x14ac:dyDescent="0.25">
      <c r="A1400" t="str">
        <f t="shared" si="21"/>
        <v>1401001690012026M02</v>
      </c>
      <c r="B1400">
        <v>51321001</v>
      </c>
      <c r="C1400">
        <v>16</v>
      </c>
      <c r="D1400">
        <v>140100</v>
      </c>
      <c r="E1400">
        <v>169001</v>
      </c>
      <c r="F1400" t="s">
        <v>115</v>
      </c>
      <c r="G1400" t="s">
        <v>64</v>
      </c>
      <c r="H1400">
        <v>0</v>
      </c>
      <c r="I1400">
        <v>0</v>
      </c>
      <c r="J1400">
        <v>0</v>
      </c>
      <c r="K1400">
        <v>0</v>
      </c>
      <c r="L1400">
        <v>0</v>
      </c>
    </row>
    <row r="1401" spans="1:12" x14ac:dyDescent="0.25">
      <c r="A1401" t="str">
        <f t="shared" si="21"/>
        <v>1401001690012026M03</v>
      </c>
      <c r="B1401">
        <v>51321001</v>
      </c>
      <c r="C1401">
        <v>16</v>
      </c>
      <c r="D1401">
        <v>140100</v>
      </c>
      <c r="E1401">
        <v>169001</v>
      </c>
      <c r="F1401" t="s">
        <v>115</v>
      </c>
      <c r="G1401" t="s">
        <v>65</v>
      </c>
      <c r="H1401">
        <v>0</v>
      </c>
      <c r="I1401">
        <v>0</v>
      </c>
      <c r="J1401">
        <v>0</v>
      </c>
      <c r="K1401">
        <v>0</v>
      </c>
      <c r="L1401">
        <v>0</v>
      </c>
    </row>
    <row r="1402" spans="1:12" x14ac:dyDescent="0.25">
      <c r="A1402" t="str">
        <f t="shared" si="21"/>
        <v>1401001690012026M04</v>
      </c>
      <c r="B1402">
        <v>51321001</v>
      </c>
      <c r="C1402">
        <v>16</v>
      </c>
      <c r="D1402">
        <v>140100</v>
      </c>
      <c r="E1402">
        <v>169001</v>
      </c>
      <c r="F1402" t="s">
        <v>115</v>
      </c>
      <c r="G1402" t="s">
        <v>66</v>
      </c>
      <c r="H1402">
        <v>0</v>
      </c>
      <c r="I1402">
        <v>0</v>
      </c>
      <c r="J1402">
        <v>0</v>
      </c>
      <c r="K1402">
        <v>0</v>
      </c>
      <c r="L1402">
        <v>0</v>
      </c>
    </row>
    <row r="1403" spans="1:12" x14ac:dyDescent="0.25">
      <c r="A1403" t="str">
        <f t="shared" si="21"/>
        <v>1401001690012026M05</v>
      </c>
      <c r="B1403">
        <v>51321001</v>
      </c>
      <c r="C1403">
        <v>16</v>
      </c>
      <c r="D1403">
        <v>140100</v>
      </c>
      <c r="E1403">
        <v>169001</v>
      </c>
      <c r="F1403" t="s">
        <v>115</v>
      </c>
      <c r="G1403" t="s">
        <v>67</v>
      </c>
      <c r="H1403">
        <v>0</v>
      </c>
      <c r="I1403">
        <v>0</v>
      </c>
      <c r="J1403">
        <v>0</v>
      </c>
      <c r="K1403">
        <v>0</v>
      </c>
      <c r="L1403">
        <v>0</v>
      </c>
    </row>
    <row r="1404" spans="1:12" x14ac:dyDescent="0.25">
      <c r="A1404" t="str">
        <f t="shared" si="21"/>
        <v>1401001690012026M06</v>
      </c>
      <c r="B1404">
        <v>51321001</v>
      </c>
      <c r="C1404">
        <v>16</v>
      </c>
      <c r="D1404">
        <v>140100</v>
      </c>
      <c r="E1404">
        <v>169001</v>
      </c>
      <c r="F1404" t="s">
        <v>115</v>
      </c>
      <c r="G1404" t="s">
        <v>68</v>
      </c>
      <c r="H1404">
        <v>0</v>
      </c>
      <c r="I1404">
        <v>0</v>
      </c>
      <c r="J1404">
        <v>0</v>
      </c>
      <c r="K1404">
        <v>0</v>
      </c>
      <c r="L1404">
        <v>0</v>
      </c>
    </row>
    <row r="1405" spans="1:12" x14ac:dyDescent="0.25">
      <c r="A1405" t="str">
        <f t="shared" si="21"/>
        <v>1401001690012026M07</v>
      </c>
      <c r="B1405">
        <v>51321001</v>
      </c>
      <c r="C1405">
        <v>16</v>
      </c>
      <c r="D1405">
        <v>140100</v>
      </c>
      <c r="E1405">
        <v>169001</v>
      </c>
      <c r="F1405" t="s">
        <v>115</v>
      </c>
      <c r="G1405" t="s">
        <v>69</v>
      </c>
      <c r="H1405">
        <v>0</v>
      </c>
      <c r="I1405">
        <v>0</v>
      </c>
      <c r="J1405">
        <v>0</v>
      </c>
      <c r="K1405">
        <v>0</v>
      </c>
      <c r="L1405">
        <v>0</v>
      </c>
    </row>
    <row r="1406" spans="1:12" x14ac:dyDescent="0.25">
      <c r="A1406" t="str">
        <f t="shared" si="21"/>
        <v>1401001690012026M08</v>
      </c>
      <c r="B1406">
        <v>51321001</v>
      </c>
      <c r="C1406">
        <v>16</v>
      </c>
      <c r="D1406">
        <v>140100</v>
      </c>
      <c r="E1406">
        <v>169001</v>
      </c>
      <c r="F1406" t="s">
        <v>115</v>
      </c>
      <c r="G1406" t="s">
        <v>70</v>
      </c>
      <c r="H1406">
        <v>0</v>
      </c>
      <c r="I1406">
        <v>0</v>
      </c>
      <c r="J1406">
        <v>0</v>
      </c>
      <c r="K1406">
        <v>0</v>
      </c>
      <c r="L1406">
        <v>0</v>
      </c>
    </row>
    <row r="1407" spans="1:12" x14ac:dyDescent="0.25">
      <c r="A1407" t="str">
        <f t="shared" si="21"/>
        <v>1401001690012026M09</v>
      </c>
      <c r="B1407">
        <v>51321001</v>
      </c>
      <c r="C1407">
        <v>16</v>
      </c>
      <c r="D1407">
        <v>140100</v>
      </c>
      <c r="E1407">
        <v>169001</v>
      </c>
      <c r="F1407" t="s">
        <v>115</v>
      </c>
      <c r="G1407" t="s">
        <v>71</v>
      </c>
      <c r="H1407">
        <v>0</v>
      </c>
      <c r="I1407">
        <v>0</v>
      </c>
      <c r="J1407">
        <v>0</v>
      </c>
      <c r="K1407">
        <v>0</v>
      </c>
      <c r="L1407">
        <v>0</v>
      </c>
    </row>
    <row r="1408" spans="1:12" x14ac:dyDescent="0.25">
      <c r="A1408" t="str">
        <f t="shared" si="21"/>
        <v>1401001690012026M10</v>
      </c>
      <c r="B1408">
        <v>51321001</v>
      </c>
      <c r="C1408">
        <v>16</v>
      </c>
      <c r="D1408">
        <v>140100</v>
      </c>
      <c r="E1408">
        <v>169001</v>
      </c>
      <c r="F1408" t="s">
        <v>115</v>
      </c>
      <c r="G1408" t="s">
        <v>72</v>
      </c>
      <c r="H1408">
        <v>0</v>
      </c>
      <c r="I1408">
        <v>0</v>
      </c>
      <c r="J1408">
        <v>0</v>
      </c>
      <c r="K1408">
        <v>0</v>
      </c>
      <c r="L1408">
        <v>0</v>
      </c>
    </row>
    <row r="1409" spans="1:12" x14ac:dyDescent="0.25">
      <c r="A1409" t="str">
        <f t="shared" si="21"/>
        <v>1401001690012026M11</v>
      </c>
      <c r="B1409">
        <v>51321001</v>
      </c>
      <c r="C1409">
        <v>16</v>
      </c>
      <c r="D1409">
        <v>140100</v>
      </c>
      <c r="E1409">
        <v>169001</v>
      </c>
      <c r="F1409" t="s">
        <v>115</v>
      </c>
      <c r="G1409" t="s">
        <v>73</v>
      </c>
      <c r="H1409">
        <v>0</v>
      </c>
      <c r="I1409">
        <v>0</v>
      </c>
      <c r="J1409">
        <v>0</v>
      </c>
      <c r="K1409">
        <v>0</v>
      </c>
      <c r="L1409">
        <v>0</v>
      </c>
    </row>
    <row r="1410" spans="1:12" x14ac:dyDescent="0.25">
      <c r="A1410" t="str">
        <f t="shared" si="21"/>
        <v>1401001690012026M12</v>
      </c>
      <c r="B1410">
        <v>51321001</v>
      </c>
      <c r="C1410">
        <v>16</v>
      </c>
      <c r="D1410">
        <v>140100</v>
      </c>
      <c r="E1410">
        <v>169001</v>
      </c>
      <c r="F1410" t="s">
        <v>115</v>
      </c>
      <c r="G1410" t="s">
        <v>74</v>
      </c>
      <c r="H1410">
        <v>0</v>
      </c>
      <c r="I1410">
        <v>0</v>
      </c>
      <c r="J1410">
        <v>0</v>
      </c>
      <c r="K1410">
        <v>0</v>
      </c>
      <c r="L1410">
        <v>0</v>
      </c>
    </row>
    <row r="1411" spans="1:12" x14ac:dyDescent="0.25">
      <c r="A1411" t="str">
        <f t="shared" si="21"/>
        <v>2002001624302026M02</v>
      </c>
      <c r="B1411">
        <v>51321001</v>
      </c>
      <c r="C1411">
        <v>16</v>
      </c>
      <c r="D1411">
        <v>200200</v>
      </c>
      <c r="E1411">
        <v>162430</v>
      </c>
      <c r="F1411" t="s">
        <v>115</v>
      </c>
      <c r="G1411" t="s">
        <v>64</v>
      </c>
      <c r="H1411">
        <v>0</v>
      </c>
      <c r="I1411">
        <v>0</v>
      </c>
      <c r="J1411">
        <v>0</v>
      </c>
      <c r="K1411">
        <v>0</v>
      </c>
      <c r="L1411">
        <v>0</v>
      </c>
    </row>
    <row r="1412" spans="1:12" x14ac:dyDescent="0.25">
      <c r="A1412" t="str">
        <f t="shared" si="21"/>
        <v>2002001624302026M03</v>
      </c>
      <c r="B1412">
        <v>51321001</v>
      </c>
      <c r="C1412">
        <v>16</v>
      </c>
      <c r="D1412">
        <v>200200</v>
      </c>
      <c r="E1412">
        <v>162430</v>
      </c>
      <c r="F1412" t="s">
        <v>115</v>
      </c>
      <c r="G1412" t="s">
        <v>65</v>
      </c>
      <c r="H1412">
        <v>132239.62</v>
      </c>
      <c r="I1412">
        <v>132239.62</v>
      </c>
      <c r="J1412">
        <v>0</v>
      </c>
      <c r="K1412">
        <v>0</v>
      </c>
      <c r="L1412">
        <v>0</v>
      </c>
    </row>
    <row r="1413" spans="1:12" x14ac:dyDescent="0.25">
      <c r="A1413" t="str">
        <f t="shared" si="21"/>
        <v>2002001624302026M04</v>
      </c>
      <c r="B1413">
        <v>51321001</v>
      </c>
      <c r="C1413">
        <v>16</v>
      </c>
      <c r="D1413">
        <v>200200</v>
      </c>
      <c r="E1413">
        <v>162430</v>
      </c>
      <c r="F1413" t="s">
        <v>115</v>
      </c>
      <c r="G1413" t="s">
        <v>66</v>
      </c>
      <c r="H1413">
        <v>66119.81</v>
      </c>
      <c r="I1413">
        <v>66119.81</v>
      </c>
      <c r="J1413">
        <v>0</v>
      </c>
      <c r="K1413">
        <v>0</v>
      </c>
      <c r="L1413">
        <v>0</v>
      </c>
    </row>
    <row r="1414" spans="1:12" x14ac:dyDescent="0.25">
      <c r="A1414" t="str">
        <f t="shared" si="21"/>
        <v>2002001624302026M05</v>
      </c>
      <c r="B1414">
        <v>51321001</v>
      </c>
      <c r="C1414">
        <v>16</v>
      </c>
      <c r="D1414">
        <v>200200</v>
      </c>
      <c r="E1414">
        <v>162430</v>
      </c>
      <c r="F1414" t="s">
        <v>115</v>
      </c>
      <c r="G1414" t="s">
        <v>67</v>
      </c>
      <c r="H1414">
        <v>66119.81</v>
      </c>
      <c r="I1414">
        <v>66119.81</v>
      </c>
      <c r="J1414">
        <v>0</v>
      </c>
      <c r="K1414">
        <v>0</v>
      </c>
      <c r="L1414">
        <v>0</v>
      </c>
    </row>
    <row r="1415" spans="1:12" x14ac:dyDescent="0.25">
      <c r="A1415" t="str">
        <f t="shared" si="21"/>
        <v>2002001624302026M06</v>
      </c>
      <c r="B1415">
        <v>51321001</v>
      </c>
      <c r="C1415">
        <v>16</v>
      </c>
      <c r="D1415">
        <v>200200</v>
      </c>
      <c r="E1415">
        <v>162430</v>
      </c>
      <c r="F1415" t="s">
        <v>115</v>
      </c>
      <c r="G1415" t="s">
        <v>68</v>
      </c>
      <c r="H1415">
        <v>66119.81</v>
      </c>
      <c r="I1415">
        <v>66119.81</v>
      </c>
      <c r="J1415">
        <v>0</v>
      </c>
      <c r="K1415">
        <v>0</v>
      </c>
      <c r="L1415">
        <v>0</v>
      </c>
    </row>
    <row r="1416" spans="1:12" x14ac:dyDescent="0.25">
      <c r="A1416" t="str">
        <f t="shared" si="21"/>
        <v>2002001624302026M07</v>
      </c>
      <c r="B1416">
        <v>51321001</v>
      </c>
      <c r="C1416">
        <v>16</v>
      </c>
      <c r="D1416">
        <v>200200</v>
      </c>
      <c r="E1416">
        <v>162430</v>
      </c>
      <c r="F1416" t="s">
        <v>115</v>
      </c>
      <c r="G1416" t="s">
        <v>69</v>
      </c>
      <c r="H1416">
        <v>0</v>
      </c>
      <c r="I1416">
        <v>0</v>
      </c>
      <c r="J1416">
        <v>0</v>
      </c>
      <c r="K1416">
        <v>0</v>
      </c>
      <c r="L1416">
        <v>0</v>
      </c>
    </row>
    <row r="1417" spans="1:12" x14ac:dyDescent="0.25">
      <c r="A1417" t="str">
        <f t="shared" si="21"/>
        <v>2002001624302026M08</v>
      </c>
      <c r="B1417">
        <v>51321001</v>
      </c>
      <c r="C1417">
        <v>16</v>
      </c>
      <c r="D1417">
        <v>200200</v>
      </c>
      <c r="E1417">
        <v>162430</v>
      </c>
      <c r="F1417" t="s">
        <v>115</v>
      </c>
      <c r="G1417" t="s">
        <v>70</v>
      </c>
      <c r="H1417">
        <v>0</v>
      </c>
      <c r="I1417">
        <v>0</v>
      </c>
      <c r="J1417">
        <v>0</v>
      </c>
      <c r="K1417">
        <v>0</v>
      </c>
      <c r="L1417">
        <v>0</v>
      </c>
    </row>
    <row r="1418" spans="1:12" x14ac:dyDescent="0.25">
      <c r="A1418" t="str">
        <f t="shared" si="21"/>
        <v>2002001624302026M09</v>
      </c>
      <c r="B1418">
        <v>51321001</v>
      </c>
      <c r="C1418">
        <v>16</v>
      </c>
      <c r="D1418">
        <v>200200</v>
      </c>
      <c r="E1418">
        <v>162430</v>
      </c>
      <c r="F1418" t="s">
        <v>115</v>
      </c>
      <c r="G1418" t="s">
        <v>71</v>
      </c>
      <c r="H1418">
        <v>132239.62</v>
      </c>
      <c r="I1418">
        <v>132239.62</v>
      </c>
      <c r="J1418">
        <v>0</v>
      </c>
      <c r="K1418">
        <v>0</v>
      </c>
      <c r="L1418">
        <v>0</v>
      </c>
    </row>
    <row r="1419" spans="1:12" x14ac:dyDescent="0.25">
      <c r="A1419" t="str">
        <f t="shared" ref="A1419:A1482" si="22">D1419&amp;E1419&amp;G1419</f>
        <v>2002001624302026M10</v>
      </c>
      <c r="B1419">
        <v>51321001</v>
      </c>
      <c r="C1419">
        <v>16</v>
      </c>
      <c r="D1419">
        <v>200200</v>
      </c>
      <c r="E1419">
        <v>162430</v>
      </c>
      <c r="F1419" t="s">
        <v>115</v>
      </c>
      <c r="G1419" t="s">
        <v>72</v>
      </c>
      <c r="H1419">
        <v>132241.32999999999</v>
      </c>
      <c r="I1419">
        <v>0</v>
      </c>
      <c r="J1419">
        <v>132241.32999999999</v>
      </c>
      <c r="K1419">
        <v>0</v>
      </c>
      <c r="L1419">
        <v>0</v>
      </c>
    </row>
    <row r="1420" spans="1:12" x14ac:dyDescent="0.25">
      <c r="A1420" t="str">
        <f t="shared" si="22"/>
        <v>2002001624302026M11</v>
      </c>
      <c r="B1420">
        <v>51321001</v>
      </c>
      <c r="C1420">
        <v>16</v>
      </c>
      <c r="D1420">
        <v>200200</v>
      </c>
      <c r="E1420">
        <v>162430</v>
      </c>
      <c r="F1420" t="s">
        <v>115</v>
      </c>
      <c r="G1420" t="s">
        <v>73</v>
      </c>
      <c r="H1420">
        <v>66120</v>
      </c>
      <c r="I1420">
        <v>0</v>
      </c>
      <c r="J1420">
        <v>66120</v>
      </c>
      <c r="K1420">
        <v>0</v>
      </c>
      <c r="L1420">
        <v>0</v>
      </c>
    </row>
    <row r="1421" spans="1:12" x14ac:dyDescent="0.25">
      <c r="A1421" t="str">
        <f t="shared" si="22"/>
        <v>2002001624302026M12</v>
      </c>
      <c r="B1421">
        <v>51321001</v>
      </c>
      <c r="C1421">
        <v>16</v>
      </c>
      <c r="D1421">
        <v>200200</v>
      </c>
      <c r="E1421">
        <v>162430</v>
      </c>
      <c r="F1421" t="s">
        <v>115</v>
      </c>
      <c r="G1421" t="s">
        <v>74</v>
      </c>
      <c r="H1421">
        <v>132240</v>
      </c>
      <c r="I1421">
        <v>0</v>
      </c>
      <c r="J1421">
        <v>132240</v>
      </c>
      <c r="K1421">
        <v>0</v>
      </c>
      <c r="L1421">
        <v>0</v>
      </c>
    </row>
    <row r="1422" spans="1:12" x14ac:dyDescent="0.25">
      <c r="A1422" t="str">
        <f t="shared" si="22"/>
        <v>2002001624362026M02</v>
      </c>
      <c r="B1422">
        <v>51321001</v>
      </c>
      <c r="C1422">
        <v>16</v>
      </c>
      <c r="D1422">
        <v>200200</v>
      </c>
      <c r="E1422">
        <v>162436</v>
      </c>
      <c r="F1422" t="s">
        <v>115</v>
      </c>
      <c r="G1422" t="s">
        <v>64</v>
      </c>
      <c r="H1422">
        <v>0</v>
      </c>
      <c r="I1422">
        <v>0</v>
      </c>
      <c r="J1422">
        <v>0</v>
      </c>
      <c r="K1422">
        <v>0</v>
      </c>
      <c r="L1422">
        <v>0</v>
      </c>
    </row>
    <row r="1423" spans="1:12" x14ac:dyDescent="0.25">
      <c r="A1423" t="str">
        <f t="shared" si="22"/>
        <v>2002001624362026M03</v>
      </c>
      <c r="B1423">
        <v>51321001</v>
      </c>
      <c r="C1423">
        <v>16</v>
      </c>
      <c r="D1423">
        <v>200200</v>
      </c>
      <c r="E1423">
        <v>162436</v>
      </c>
      <c r="F1423" t="s">
        <v>115</v>
      </c>
      <c r="G1423" t="s">
        <v>65</v>
      </c>
      <c r="H1423">
        <v>30926.28</v>
      </c>
      <c r="I1423">
        <v>30926.28</v>
      </c>
      <c r="J1423">
        <v>0</v>
      </c>
      <c r="K1423">
        <v>0</v>
      </c>
      <c r="L1423">
        <v>0</v>
      </c>
    </row>
    <row r="1424" spans="1:12" x14ac:dyDescent="0.25">
      <c r="A1424" t="str">
        <f t="shared" si="22"/>
        <v>2002001624362026M04</v>
      </c>
      <c r="B1424">
        <v>51321001</v>
      </c>
      <c r="C1424">
        <v>16</v>
      </c>
      <c r="D1424">
        <v>200200</v>
      </c>
      <c r="E1424">
        <v>162436</v>
      </c>
      <c r="F1424" t="s">
        <v>115</v>
      </c>
      <c r="G1424" t="s">
        <v>66</v>
      </c>
      <c r="H1424">
        <v>15463.14</v>
      </c>
      <c r="I1424">
        <v>15463.14</v>
      </c>
      <c r="J1424">
        <v>0</v>
      </c>
      <c r="K1424">
        <v>0</v>
      </c>
      <c r="L1424">
        <v>0</v>
      </c>
    </row>
    <row r="1425" spans="1:12" x14ac:dyDescent="0.25">
      <c r="A1425" t="str">
        <f t="shared" si="22"/>
        <v>2002001624362026M05</v>
      </c>
      <c r="B1425">
        <v>51321001</v>
      </c>
      <c r="C1425">
        <v>16</v>
      </c>
      <c r="D1425">
        <v>200200</v>
      </c>
      <c r="E1425">
        <v>162436</v>
      </c>
      <c r="F1425" t="s">
        <v>115</v>
      </c>
      <c r="G1425" t="s">
        <v>67</v>
      </c>
      <c r="H1425">
        <v>15463.14</v>
      </c>
      <c r="I1425">
        <v>15463.14</v>
      </c>
      <c r="J1425">
        <v>0</v>
      </c>
      <c r="K1425">
        <v>0</v>
      </c>
      <c r="L1425">
        <v>0</v>
      </c>
    </row>
    <row r="1426" spans="1:12" x14ac:dyDescent="0.25">
      <c r="A1426" t="str">
        <f t="shared" si="22"/>
        <v>2002001624362026M06</v>
      </c>
      <c r="B1426">
        <v>51321001</v>
      </c>
      <c r="C1426">
        <v>16</v>
      </c>
      <c r="D1426">
        <v>200200</v>
      </c>
      <c r="E1426">
        <v>162436</v>
      </c>
      <c r="F1426" t="s">
        <v>115</v>
      </c>
      <c r="G1426" t="s">
        <v>68</v>
      </c>
      <c r="H1426">
        <v>15463.14</v>
      </c>
      <c r="I1426">
        <v>15463.14</v>
      </c>
      <c r="J1426">
        <v>0</v>
      </c>
      <c r="K1426">
        <v>0</v>
      </c>
      <c r="L1426">
        <v>0</v>
      </c>
    </row>
    <row r="1427" spans="1:12" x14ac:dyDescent="0.25">
      <c r="A1427" t="str">
        <f t="shared" si="22"/>
        <v>2002001624362026M07</v>
      </c>
      <c r="B1427">
        <v>51321001</v>
      </c>
      <c r="C1427">
        <v>16</v>
      </c>
      <c r="D1427">
        <v>200200</v>
      </c>
      <c r="E1427">
        <v>162436</v>
      </c>
      <c r="F1427" t="s">
        <v>115</v>
      </c>
      <c r="G1427" t="s">
        <v>69</v>
      </c>
      <c r="H1427">
        <v>15463.14</v>
      </c>
      <c r="I1427">
        <v>15463.14</v>
      </c>
      <c r="J1427">
        <v>0</v>
      </c>
      <c r="K1427">
        <v>0</v>
      </c>
      <c r="L1427">
        <v>0</v>
      </c>
    </row>
    <row r="1428" spans="1:12" x14ac:dyDescent="0.25">
      <c r="A1428" t="str">
        <f t="shared" si="22"/>
        <v>2002001624362026M08</v>
      </c>
      <c r="B1428">
        <v>51321001</v>
      </c>
      <c r="C1428">
        <v>16</v>
      </c>
      <c r="D1428">
        <v>200200</v>
      </c>
      <c r="E1428">
        <v>162436</v>
      </c>
      <c r="F1428" t="s">
        <v>115</v>
      </c>
      <c r="G1428" t="s">
        <v>70</v>
      </c>
      <c r="H1428">
        <v>15463.14</v>
      </c>
      <c r="I1428">
        <v>15463.14</v>
      </c>
      <c r="J1428">
        <v>0</v>
      </c>
      <c r="K1428">
        <v>0</v>
      </c>
      <c r="L1428">
        <v>0</v>
      </c>
    </row>
    <row r="1429" spans="1:12" x14ac:dyDescent="0.25">
      <c r="A1429" t="str">
        <f t="shared" si="22"/>
        <v>2002001624362026M09</v>
      </c>
      <c r="B1429">
        <v>51321001</v>
      </c>
      <c r="C1429">
        <v>16</v>
      </c>
      <c r="D1429">
        <v>200200</v>
      </c>
      <c r="E1429">
        <v>162436</v>
      </c>
      <c r="F1429" t="s">
        <v>115</v>
      </c>
      <c r="G1429" t="s">
        <v>71</v>
      </c>
      <c r="H1429">
        <v>0</v>
      </c>
      <c r="I1429">
        <v>0</v>
      </c>
      <c r="J1429">
        <v>0</v>
      </c>
      <c r="K1429">
        <v>0</v>
      </c>
      <c r="L1429">
        <v>0</v>
      </c>
    </row>
    <row r="1430" spans="1:12" x14ac:dyDescent="0.25">
      <c r="A1430" t="str">
        <f t="shared" si="22"/>
        <v>2002001624362026M10</v>
      </c>
      <c r="B1430">
        <v>51321001</v>
      </c>
      <c r="C1430">
        <v>16</v>
      </c>
      <c r="D1430">
        <v>200200</v>
      </c>
      <c r="E1430">
        <v>162436</v>
      </c>
      <c r="F1430" t="s">
        <v>115</v>
      </c>
      <c r="G1430" t="s">
        <v>72</v>
      </c>
      <c r="H1430">
        <v>30934.02</v>
      </c>
      <c r="I1430">
        <v>15463.14</v>
      </c>
      <c r="J1430">
        <v>15470.88</v>
      </c>
      <c r="K1430">
        <v>0</v>
      </c>
      <c r="L1430">
        <v>0</v>
      </c>
    </row>
    <row r="1431" spans="1:12" x14ac:dyDescent="0.25">
      <c r="A1431" t="str">
        <f t="shared" si="22"/>
        <v>2002001624362026M11</v>
      </c>
      <c r="B1431">
        <v>51321001</v>
      </c>
      <c r="C1431">
        <v>16</v>
      </c>
      <c r="D1431">
        <v>200200</v>
      </c>
      <c r="E1431">
        <v>162436</v>
      </c>
      <c r="F1431" t="s">
        <v>115</v>
      </c>
      <c r="G1431" t="s">
        <v>73</v>
      </c>
      <c r="H1431">
        <v>15464</v>
      </c>
      <c r="I1431">
        <v>0</v>
      </c>
      <c r="J1431">
        <v>15464</v>
      </c>
      <c r="K1431">
        <v>0</v>
      </c>
      <c r="L1431">
        <v>0</v>
      </c>
    </row>
    <row r="1432" spans="1:12" x14ac:dyDescent="0.25">
      <c r="A1432" t="str">
        <f t="shared" si="22"/>
        <v>2002001624362026M12</v>
      </c>
      <c r="B1432">
        <v>51321001</v>
      </c>
      <c r="C1432">
        <v>16</v>
      </c>
      <c r="D1432">
        <v>200200</v>
      </c>
      <c r="E1432">
        <v>162436</v>
      </c>
      <c r="F1432" t="s">
        <v>115</v>
      </c>
      <c r="G1432" t="s">
        <v>74</v>
      </c>
      <c r="H1432">
        <v>30928</v>
      </c>
      <c r="I1432">
        <v>0</v>
      </c>
      <c r="J1432">
        <v>30916.38</v>
      </c>
      <c r="K1432">
        <v>0</v>
      </c>
      <c r="L1432">
        <v>11.62</v>
      </c>
    </row>
    <row r="1433" spans="1:12" x14ac:dyDescent="0.25">
      <c r="A1433" t="str">
        <f t="shared" si="22"/>
        <v>3802001659012026M02</v>
      </c>
      <c r="B1433">
        <v>51321001</v>
      </c>
      <c r="C1433">
        <v>16</v>
      </c>
      <c r="D1433">
        <v>380200</v>
      </c>
      <c r="E1433">
        <v>165901</v>
      </c>
      <c r="F1433" t="s">
        <v>115</v>
      </c>
      <c r="G1433" t="s">
        <v>64</v>
      </c>
      <c r="H1433">
        <v>0</v>
      </c>
      <c r="I1433">
        <v>0</v>
      </c>
      <c r="J1433">
        <v>0</v>
      </c>
      <c r="K1433">
        <v>0</v>
      </c>
      <c r="L1433">
        <v>0</v>
      </c>
    </row>
    <row r="1434" spans="1:12" x14ac:dyDescent="0.25">
      <c r="A1434" t="str">
        <f t="shared" si="22"/>
        <v>3802001659012026M03</v>
      </c>
      <c r="B1434">
        <v>51321001</v>
      </c>
      <c r="C1434">
        <v>16</v>
      </c>
      <c r="D1434">
        <v>380200</v>
      </c>
      <c r="E1434">
        <v>165901</v>
      </c>
      <c r="F1434" t="s">
        <v>115</v>
      </c>
      <c r="G1434" t="s">
        <v>65</v>
      </c>
      <c r="H1434">
        <v>220399.88</v>
      </c>
      <c r="I1434">
        <v>220399.88</v>
      </c>
      <c r="J1434">
        <v>0</v>
      </c>
      <c r="K1434">
        <v>0</v>
      </c>
      <c r="L1434">
        <v>0</v>
      </c>
    </row>
    <row r="1435" spans="1:12" x14ac:dyDescent="0.25">
      <c r="A1435" t="str">
        <f t="shared" si="22"/>
        <v>3802001659012026M04</v>
      </c>
      <c r="B1435">
        <v>51321001</v>
      </c>
      <c r="C1435">
        <v>16</v>
      </c>
      <c r="D1435">
        <v>380200</v>
      </c>
      <c r="E1435">
        <v>165901</v>
      </c>
      <c r="F1435" t="s">
        <v>115</v>
      </c>
      <c r="G1435" t="s">
        <v>66</v>
      </c>
      <c r="H1435">
        <v>110199.94</v>
      </c>
      <c r="I1435">
        <v>110199.94</v>
      </c>
      <c r="J1435">
        <v>0</v>
      </c>
      <c r="K1435">
        <v>0</v>
      </c>
      <c r="L1435">
        <v>0</v>
      </c>
    </row>
    <row r="1436" spans="1:12" x14ac:dyDescent="0.25">
      <c r="A1436" t="str">
        <f t="shared" si="22"/>
        <v>3802001659012026M05</v>
      </c>
      <c r="B1436">
        <v>51321001</v>
      </c>
      <c r="C1436">
        <v>16</v>
      </c>
      <c r="D1436">
        <v>380200</v>
      </c>
      <c r="E1436">
        <v>165901</v>
      </c>
      <c r="F1436" t="s">
        <v>115</v>
      </c>
      <c r="G1436" t="s">
        <v>67</v>
      </c>
      <c r="H1436">
        <v>110199.94</v>
      </c>
      <c r="I1436">
        <v>110199.94</v>
      </c>
      <c r="J1436">
        <v>0</v>
      </c>
      <c r="K1436">
        <v>0</v>
      </c>
      <c r="L1436">
        <v>0</v>
      </c>
    </row>
    <row r="1437" spans="1:12" x14ac:dyDescent="0.25">
      <c r="A1437" t="str">
        <f t="shared" si="22"/>
        <v>3802001659012026M06</v>
      </c>
      <c r="B1437">
        <v>51321001</v>
      </c>
      <c r="C1437">
        <v>16</v>
      </c>
      <c r="D1437">
        <v>380200</v>
      </c>
      <c r="E1437">
        <v>165901</v>
      </c>
      <c r="F1437" t="s">
        <v>115</v>
      </c>
      <c r="G1437" t="s">
        <v>68</v>
      </c>
      <c r="H1437">
        <v>110199.94</v>
      </c>
      <c r="I1437">
        <v>110199.94</v>
      </c>
      <c r="J1437">
        <v>0</v>
      </c>
      <c r="K1437">
        <v>0</v>
      </c>
      <c r="L1437">
        <v>0</v>
      </c>
    </row>
    <row r="1438" spans="1:12" x14ac:dyDescent="0.25">
      <c r="A1438" t="str">
        <f t="shared" si="22"/>
        <v>3802001659012026M07</v>
      </c>
      <c r="B1438">
        <v>51321001</v>
      </c>
      <c r="C1438">
        <v>16</v>
      </c>
      <c r="D1438">
        <v>380200</v>
      </c>
      <c r="E1438">
        <v>165901</v>
      </c>
      <c r="F1438" t="s">
        <v>115</v>
      </c>
      <c r="G1438" t="s">
        <v>69</v>
      </c>
      <c r="H1438">
        <v>0</v>
      </c>
      <c r="I1438">
        <v>0</v>
      </c>
      <c r="J1438">
        <v>0</v>
      </c>
      <c r="K1438">
        <v>0</v>
      </c>
      <c r="L1438">
        <v>0</v>
      </c>
    </row>
    <row r="1439" spans="1:12" x14ac:dyDescent="0.25">
      <c r="A1439" t="str">
        <f t="shared" si="22"/>
        <v>3802001659012026M08</v>
      </c>
      <c r="B1439">
        <v>51321001</v>
      </c>
      <c r="C1439">
        <v>16</v>
      </c>
      <c r="D1439">
        <v>380200</v>
      </c>
      <c r="E1439">
        <v>165901</v>
      </c>
      <c r="F1439" t="s">
        <v>115</v>
      </c>
      <c r="G1439" t="s">
        <v>70</v>
      </c>
      <c r="H1439">
        <v>220399.88</v>
      </c>
      <c r="I1439">
        <v>220399.88</v>
      </c>
      <c r="J1439">
        <v>0</v>
      </c>
      <c r="K1439">
        <v>0</v>
      </c>
      <c r="L1439">
        <v>0</v>
      </c>
    </row>
    <row r="1440" spans="1:12" x14ac:dyDescent="0.25">
      <c r="A1440" t="str">
        <f t="shared" si="22"/>
        <v>3802001659012026M09</v>
      </c>
      <c r="B1440">
        <v>51321001</v>
      </c>
      <c r="C1440">
        <v>16</v>
      </c>
      <c r="D1440">
        <v>380200</v>
      </c>
      <c r="E1440">
        <v>165901</v>
      </c>
      <c r="F1440" t="s">
        <v>115</v>
      </c>
      <c r="G1440" t="s">
        <v>71</v>
      </c>
      <c r="H1440">
        <v>110199.94</v>
      </c>
      <c r="I1440">
        <v>110199.94</v>
      </c>
      <c r="J1440">
        <v>0</v>
      </c>
      <c r="K1440">
        <v>0</v>
      </c>
      <c r="L1440">
        <v>0</v>
      </c>
    </row>
    <row r="1441" spans="1:12" x14ac:dyDescent="0.25">
      <c r="A1441" t="str">
        <f t="shared" si="22"/>
        <v>3802001659012026M10</v>
      </c>
      <c r="B1441">
        <v>51321001</v>
      </c>
      <c r="C1441">
        <v>16</v>
      </c>
      <c r="D1441">
        <v>380200</v>
      </c>
      <c r="E1441">
        <v>165901</v>
      </c>
      <c r="F1441" t="s">
        <v>115</v>
      </c>
      <c r="G1441" t="s">
        <v>72</v>
      </c>
      <c r="H1441">
        <v>110200.48</v>
      </c>
      <c r="I1441">
        <v>0</v>
      </c>
      <c r="J1441">
        <v>110200.48</v>
      </c>
      <c r="K1441">
        <v>0</v>
      </c>
      <c r="L1441">
        <v>0</v>
      </c>
    </row>
    <row r="1442" spans="1:12" x14ac:dyDescent="0.25">
      <c r="A1442" t="str">
        <f t="shared" si="22"/>
        <v>3802001659012026M11</v>
      </c>
      <c r="B1442">
        <v>51321001</v>
      </c>
      <c r="C1442">
        <v>16</v>
      </c>
      <c r="D1442">
        <v>380200</v>
      </c>
      <c r="E1442">
        <v>165901</v>
      </c>
      <c r="F1442" t="s">
        <v>115</v>
      </c>
      <c r="G1442" t="s">
        <v>73</v>
      </c>
      <c r="H1442">
        <v>110200</v>
      </c>
      <c r="I1442">
        <v>0</v>
      </c>
      <c r="J1442">
        <v>110200</v>
      </c>
      <c r="K1442">
        <v>0</v>
      </c>
      <c r="L1442">
        <v>0</v>
      </c>
    </row>
    <row r="1443" spans="1:12" x14ac:dyDescent="0.25">
      <c r="A1443" t="str">
        <f t="shared" si="22"/>
        <v>3802001659012026M12</v>
      </c>
      <c r="B1443">
        <v>51321001</v>
      </c>
      <c r="C1443">
        <v>16</v>
      </c>
      <c r="D1443">
        <v>380200</v>
      </c>
      <c r="E1443">
        <v>165901</v>
      </c>
      <c r="F1443" t="s">
        <v>115</v>
      </c>
      <c r="G1443" t="s">
        <v>74</v>
      </c>
      <c r="H1443">
        <v>220400</v>
      </c>
      <c r="I1443">
        <v>0</v>
      </c>
      <c r="J1443">
        <v>220400</v>
      </c>
      <c r="K1443">
        <v>0</v>
      </c>
      <c r="L1443">
        <v>0</v>
      </c>
    </row>
    <row r="1444" spans="1:12" x14ac:dyDescent="0.25">
      <c r="A1444" t="str">
        <f t="shared" si="22"/>
        <v>4001001690012026M02</v>
      </c>
      <c r="B1444">
        <v>51321001</v>
      </c>
      <c r="C1444">
        <v>16</v>
      </c>
      <c r="D1444">
        <v>400100</v>
      </c>
      <c r="E1444">
        <v>169001</v>
      </c>
      <c r="F1444" t="s">
        <v>115</v>
      </c>
      <c r="G1444" t="s">
        <v>64</v>
      </c>
      <c r="H1444">
        <v>0</v>
      </c>
      <c r="I1444">
        <v>0</v>
      </c>
      <c r="J1444">
        <v>0</v>
      </c>
      <c r="K1444">
        <v>0</v>
      </c>
      <c r="L1444">
        <v>0</v>
      </c>
    </row>
    <row r="1445" spans="1:12" x14ac:dyDescent="0.25">
      <c r="A1445" t="str">
        <f t="shared" si="22"/>
        <v>4001001690012026M03</v>
      </c>
      <c r="B1445">
        <v>51321001</v>
      </c>
      <c r="C1445">
        <v>16</v>
      </c>
      <c r="D1445">
        <v>400100</v>
      </c>
      <c r="E1445">
        <v>169001</v>
      </c>
      <c r="F1445" t="s">
        <v>115</v>
      </c>
      <c r="G1445" t="s">
        <v>65</v>
      </c>
      <c r="H1445">
        <v>0</v>
      </c>
      <c r="I1445">
        <v>0</v>
      </c>
      <c r="J1445">
        <v>0</v>
      </c>
      <c r="K1445">
        <v>0</v>
      </c>
      <c r="L1445">
        <v>0</v>
      </c>
    </row>
    <row r="1446" spans="1:12" x14ac:dyDescent="0.25">
      <c r="A1446" t="str">
        <f t="shared" si="22"/>
        <v>4001001690012026M04</v>
      </c>
      <c r="B1446">
        <v>51321001</v>
      </c>
      <c r="C1446">
        <v>16</v>
      </c>
      <c r="D1446">
        <v>400100</v>
      </c>
      <c r="E1446">
        <v>169001</v>
      </c>
      <c r="F1446" t="s">
        <v>115</v>
      </c>
      <c r="G1446" t="s">
        <v>66</v>
      </c>
      <c r="H1446">
        <v>208799.88</v>
      </c>
      <c r="I1446">
        <v>208799.88</v>
      </c>
      <c r="J1446">
        <v>0</v>
      </c>
      <c r="K1446">
        <v>0</v>
      </c>
      <c r="L1446">
        <v>0</v>
      </c>
    </row>
    <row r="1447" spans="1:12" x14ac:dyDescent="0.25">
      <c r="A1447" t="str">
        <f t="shared" si="22"/>
        <v>4001001690012026M05</v>
      </c>
      <c r="B1447">
        <v>51321001</v>
      </c>
      <c r="C1447">
        <v>16</v>
      </c>
      <c r="D1447">
        <v>400100</v>
      </c>
      <c r="E1447">
        <v>169001</v>
      </c>
      <c r="F1447" t="s">
        <v>115</v>
      </c>
      <c r="G1447" t="s">
        <v>67</v>
      </c>
      <c r="H1447">
        <v>69599.960000000006</v>
      </c>
      <c r="I1447">
        <v>69599.960000000006</v>
      </c>
      <c r="J1447">
        <v>0</v>
      </c>
      <c r="K1447">
        <v>0</v>
      </c>
      <c r="L1447">
        <v>0</v>
      </c>
    </row>
    <row r="1448" spans="1:12" x14ac:dyDescent="0.25">
      <c r="A1448" t="str">
        <f t="shared" si="22"/>
        <v>4001001690012026M06</v>
      </c>
      <c r="B1448">
        <v>51321001</v>
      </c>
      <c r="C1448">
        <v>16</v>
      </c>
      <c r="D1448">
        <v>400100</v>
      </c>
      <c r="E1448">
        <v>169001</v>
      </c>
      <c r="F1448" t="s">
        <v>115</v>
      </c>
      <c r="G1448" t="s">
        <v>68</v>
      </c>
      <c r="H1448">
        <v>69599.960000000006</v>
      </c>
      <c r="I1448">
        <v>69599.960000000006</v>
      </c>
      <c r="J1448">
        <v>0</v>
      </c>
      <c r="K1448">
        <v>0</v>
      </c>
      <c r="L1448">
        <v>0</v>
      </c>
    </row>
    <row r="1449" spans="1:12" x14ac:dyDescent="0.25">
      <c r="A1449" t="str">
        <f t="shared" si="22"/>
        <v>4001001690012026M07</v>
      </c>
      <c r="B1449">
        <v>51321001</v>
      </c>
      <c r="C1449">
        <v>16</v>
      </c>
      <c r="D1449">
        <v>400100</v>
      </c>
      <c r="E1449">
        <v>169001</v>
      </c>
      <c r="F1449" t="s">
        <v>115</v>
      </c>
      <c r="G1449" t="s">
        <v>69</v>
      </c>
      <c r="H1449">
        <v>0</v>
      </c>
      <c r="I1449">
        <v>0</v>
      </c>
      <c r="J1449">
        <v>0</v>
      </c>
      <c r="K1449">
        <v>0</v>
      </c>
      <c r="L1449">
        <v>0</v>
      </c>
    </row>
    <row r="1450" spans="1:12" x14ac:dyDescent="0.25">
      <c r="A1450" t="str">
        <f t="shared" si="22"/>
        <v>4001001690012026M08</v>
      </c>
      <c r="B1450">
        <v>51321001</v>
      </c>
      <c r="C1450">
        <v>16</v>
      </c>
      <c r="D1450">
        <v>400100</v>
      </c>
      <c r="E1450">
        <v>169001</v>
      </c>
      <c r="F1450" t="s">
        <v>115</v>
      </c>
      <c r="G1450" t="s">
        <v>70</v>
      </c>
      <c r="H1450">
        <v>139199.92000000001</v>
      </c>
      <c r="I1450">
        <v>139199.92000000001</v>
      </c>
      <c r="J1450">
        <v>0</v>
      </c>
      <c r="K1450">
        <v>0</v>
      </c>
      <c r="L1450">
        <v>0</v>
      </c>
    </row>
    <row r="1451" spans="1:12" x14ac:dyDescent="0.25">
      <c r="A1451" t="str">
        <f t="shared" si="22"/>
        <v>4001001690012026M09</v>
      </c>
      <c r="B1451">
        <v>51321001</v>
      </c>
      <c r="C1451">
        <v>16</v>
      </c>
      <c r="D1451">
        <v>400100</v>
      </c>
      <c r="E1451">
        <v>169001</v>
      </c>
      <c r="F1451" t="s">
        <v>115</v>
      </c>
      <c r="G1451" t="s">
        <v>71</v>
      </c>
      <c r="H1451">
        <v>69599.960000000006</v>
      </c>
      <c r="I1451">
        <v>69599.960000000006</v>
      </c>
      <c r="J1451">
        <v>0</v>
      </c>
      <c r="K1451">
        <v>0</v>
      </c>
      <c r="L1451">
        <v>0</v>
      </c>
    </row>
    <row r="1452" spans="1:12" x14ac:dyDescent="0.25">
      <c r="A1452" t="str">
        <f t="shared" si="22"/>
        <v>4001001690012026M10</v>
      </c>
      <c r="B1452">
        <v>51321001</v>
      </c>
      <c r="C1452">
        <v>16</v>
      </c>
      <c r="D1452">
        <v>400100</v>
      </c>
      <c r="E1452">
        <v>169001</v>
      </c>
      <c r="F1452" t="s">
        <v>115</v>
      </c>
      <c r="G1452" t="s">
        <v>72</v>
      </c>
      <c r="H1452">
        <v>69600.320000000007</v>
      </c>
      <c r="I1452">
        <v>0</v>
      </c>
      <c r="J1452">
        <v>69600.320000000007</v>
      </c>
      <c r="K1452">
        <v>0</v>
      </c>
      <c r="L1452">
        <v>0</v>
      </c>
    </row>
    <row r="1453" spans="1:12" x14ac:dyDescent="0.25">
      <c r="A1453" t="str">
        <f t="shared" si="22"/>
        <v>4001001690012026M11</v>
      </c>
      <c r="B1453">
        <v>51321001</v>
      </c>
      <c r="C1453">
        <v>16</v>
      </c>
      <c r="D1453">
        <v>400100</v>
      </c>
      <c r="E1453">
        <v>169001</v>
      </c>
      <c r="F1453" t="s">
        <v>115</v>
      </c>
      <c r="G1453" t="s">
        <v>73</v>
      </c>
      <c r="H1453">
        <v>69600</v>
      </c>
      <c r="I1453">
        <v>0</v>
      </c>
      <c r="J1453">
        <v>69600</v>
      </c>
      <c r="K1453">
        <v>0</v>
      </c>
      <c r="L1453">
        <v>0</v>
      </c>
    </row>
    <row r="1454" spans="1:12" x14ac:dyDescent="0.25">
      <c r="A1454" t="str">
        <f t="shared" si="22"/>
        <v>4001001690012026M12</v>
      </c>
      <c r="B1454">
        <v>51321001</v>
      </c>
      <c r="C1454">
        <v>16</v>
      </c>
      <c r="D1454">
        <v>400100</v>
      </c>
      <c r="E1454">
        <v>169001</v>
      </c>
      <c r="F1454" t="s">
        <v>115</v>
      </c>
      <c r="G1454" t="s">
        <v>74</v>
      </c>
      <c r="H1454">
        <v>139200</v>
      </c>
      <c r="I1454">
        <v>0</v>
      </c>
      <c r="J1454">
        <v>139200</v>
      </c>
      <c r="K1454">
        <v>0</v>
      </c>
      <c r="L1454">
        <v>0</v>
      </c>
    </row>
    <row r="1455" spans="1:12" x14ac:dyDescent="0.25">
      <c r="A1455" t="str">
        <f t="shared" si="22"/>
        <v>9001101691012026M02</v>
      </c>
      <c r="B1455">
        <v>51321001</v>
      </c>
      <c r="C1455">
        <v>16</v>
      </c>
      <c r="D1455">
        <v>900110</v>
      </c>
      <c r="E1455">
        <v>169101</v>
      </c>
      <c r="F1455" t="s">
        <v>115</v>
      </c>
      <c r="G1455" t="s">
        <v>64</v>
      </c>
      <c r="H1455">
        <v>0</v>
      </c>
      <c r="I1455">
        <v>0</v>
      </c>
      <c r="J1455">
        <v>0</v>
      </c>
      <c r="K1455">
        <v>0</v>
      </c>
      <c r="L1455">
        <v>0</v>
      </c>
    </row>
    <row r="1456" spans="1:12" x14ac:dyDescent="0.25">
      <c r="A1456" t="str">
        <f t="shared" si="22"/>
        <v>9001101691012026M03</v>
      </c>
      <c r="B1456">
        <v>51321001</v>
      </c>
      <c r="C1456">
        <v>16</v>
      </c>
      <c r="D1456">
        <v>900110</v>
      </c>
      <c r="E1456">
        <v>169101</v>
      </c>
      <c r="F1456" t="s">
        <v>115</v>
      </c>
      <c r="G1456" t="s">
        <v>65</v>
      </c>
      <c r="H1456">
        <v>2134400</v>
      </c>
      <c r="I1456">
        <v>2134400</v>
      </c>
      <c r="J1456">
        <v>0</v>
      </c>
      <c r="K1456">
        <v>0</v>
      </c>
      <c r="L1456">
        <v>0</v>
      </c>
    </row>
    <row r="1457" spans="1:12" x14ac:dyDescent="0.25">
      <c r="A1457" t="str">
        <f t="shared" si="22"/>
        <v>9001101691012026M04</v>
      </c>
      <c r="B1457">
        <v>51321001</v>
      </c>
      <c r="C1457">
        <v>16</v>
      </c>
      <c r="D1457">
        <v>900110</v>
      </c>
      <c r="E1457">
        <v>169101</v>
      </c>
      <c r="F1457" t="s">
        <v>115</v>
      </c>
      <c r="G1457" t="s">
        <v>66</v>
      </c>
      <c r="H1457">
        <v>1067200</v>
      </c>
      <c r="I1457">
        <v>1067200</v>
      </c>
      <c r="J1457">
        <v>0</v>
      </c>
      <c r="K1457">
        <v>0</v>
      </c>
      <c r="L1457">
        <v>0</v>
      </c>
    </row>
    <row r="1458" spans="1:12" x14ac:dyDescent="0.25">
      <c r="A1458" t="str">
        <f t="shared" si="22"/>
        <v>9001101691012026M05</v>
      </c>
      <c r="B1458">
        <v>51321001</v>
      </c>
      <c r="C1458">
        <v>16</v>
      </c>
      <c r="D1458">
        <v>900110</v>
      </c>
      <c r="E1458">
        <v>169101</v>
      </c>
      <c r="F1458" t="s">
        <v>115</v>
      </c>
      <c r="G1458" t="s">
        <v>67</v>
      </c>
      <c r="H1458">
        <v>1067200</v>
      </c>
      <c r="I1458">
        <v>1067200</v>
      </c>
      <c r="J1458">
        <v>0</v>
      </c>
      <c r="K1458">
        <v>0</v>
      </c>
      <c r="L1458">
        <v>0</v>
      </c>
    </row>
    <row r="1459" spans="1:12" x14ac:dyDescent="0.25">
      <c r="A1459" t="str">
        <f t="shared" si="22"/>
        <v>9001101691012026M06</v>
      </c>
      <c r="B1459">
        <v>51321001</v>
      </c>
      <c r="C1459">
        <v>16</v>
      </c>
      <c r="D1459">
        <v>900110</v>
      </c>
      <c r="E1459">
        <v>169101</v>
      </c>
      <c r="F1459" t="s">
        <v>115</v>
      </c>
      <c r="G1459" t="s">
        <v>68</v>
      </c>
      <c r="H1459">
        <v>1067200</v>
      </c>
      <c r="I1459">
        <v>1067200</v>
      </c>
      <c r="J1459">
        <v>0</v>
      </c>
      <c r="K1459">
        <v>0</v>
      </c>
      <c r="L1459">
        <v>0</v>
      </c>
    </row>
    <row r="1460" spans="1:12" x14ac:dyDescent="0.25">
      <c r="A1460" t="str">
        <f t="shared" si="22"/>
        <v>9001101691012026M07</v>
      </c>
      <c r="B1460">
        <v>51321001</v>
      </c>
      <c r="C1460">
        <v>16</v>
      </c>
      <c r="D1460">
        <v>900110</v>
      </c>
      <c r="E1460">
        <v>169101</v>
      </c>
      <c r="F1460" t="s">
        <v>115</v>
      </c>
      <c r="G1460" t="s">
        <v>69</v>
      </c>
      <c r="H1460">
        <v>1067200</v>
      </c>
      <c r="I1460">
        <v>1067200</v>
      </c>
      <c r="J1460">
        <v>0</v>
      </c>
      <c r="K1460">
        <v>0</v>
      </c>
      <c r="L1460">
        <v>0</v>
      </c>
    </row>
    <row r="1461" spans="1:12" x14ac:dyDescent="0.25">
      <c r="A1461" t="str">
        <f t="shared" si="22"/>
        <v>9001101691012026M08</v>
      </c>
      <c r="B1461">
        <v>51321001</v>
      </c>
      <c r="C1461">
        <v>16</v>
      </c>
      <c r="D1461">
        <v>900110</v>
      </c>
      <c r="E1461">
        <v>169101</v>
      </c>
      <c r="F1461" t="s">
        <v>115</v>
      </c>
      <c r="G1461" t="s">
        <v>70</v>
      </c>
      <c r="H1461">
        <v>1067200</v>
      </c>
      <c r="I1461">
        <v>1067200</v>
      </c>
      <c r="J1461">
        <v>0</v>
      </c>
      <c r="K1461">
        <v>0</v>
      </c>
      <c r="L1461">
        <v>0</v>
      </c>
    </row>
    <row r="1462" spans="1:12" x14ac:dyDescent="0.25">
      <c r="A1462" t="str">
        <f t="shared" si="22"/>
        <v>9001101691012026M09</v>
      </c>
      <c r="B1462">
        <v>51321001</v>
      </c>
      <c r="C1462">
        <v>16</v>
      </c>
      <c r="D1462">
        <v>900110</v>
      </c>
      <c r="E1462">
        <v>169101</v>
      </c>
      <c r="F1462" t="s">
        <v>115</v>
      </c>
      <c r="G1462" t="s">
        <v>71</v>
      </c>
      <c r="H1462">
        <v>1067200</v>
      </c>
      <c r="I1462">
        <v>1067200</v>
      </c>
      <c r="J1462">
        <v>0</v>
      </c>
      <c r="K1462">
        <v>0</v>
      </c>
      <c r="L1462">
        <v>0</v>
      </c>
    </row>
    <row r="1463" spans="1:12" x14ac:dyDescent="0.25">
      <c r="A1463" t="str">
        <f t="shared" si="22"/>
        <v>9001101691012026M10</v>
      </c>
      <c r="B1463">
        <v>51321001</v>
      </c>
      <c r="C1463">
        <v>16</v>
      </c>
      <c r="D1463">
        <v>900110</v>
      </c>
      <c r="E1463">
        <v>169101</v>
      </c>
      <c r="F1463" t="s">
        <v>115</v>
      </c>
      <c r="G1463" t="s">
        <v>72</v>
      </c>
      <c r="H1463">
        <v>1067200</v>
      </c>
      <c r="I1463">
        <v>0</v>
      </c>
      <c r="J1463">
        <v>1067200</v>
      </c>
      <c r="K1463">
        <v>0</v>
      </c>
      <c r="L1463">
        <v>0</v>
      </c>
    </row>
    <row r="1464" spans="1:12" x14ac:dyDescent="0.25">
      <c r="A1464" t="str">
        <f t="shared" si="22"/>
        <v>9001101691012026M11</v>
      </c>
      <c r="B1464">
        <v>51321001</v>
      </c>
      <c r="C1464">
        <v>16</v>
      </c>
      <c r="D1464">
        <v>900110</v>
      </c>
      <c r="E1464">
        <v>169101</v>
      </c>
      <c r="F1464" t="s">
        <v>115</v>
      </c>
      <c r="G1464" t="s">
        <v>73</v>
      </c>
      <c r="H1464">
        <v>1067200</v>
      </c>
      <c r="I1464">
        <v>0</v>
      </c>
      <c r="J1464">
        <v>1067200</v>
      </c>
      <c r="K1464">
        <v>0</v>
      </c>
      <c r="L1464">
        <v>0</v>
      </c>
    </row>
    <row r="1465" spans="1:12" x14ac:dyDescent="0.25">
      <c r="A1465" t="str">
        <f t="shared" si="22"/>
        <v>9001101691012026M12</v>
      </c>
      <c r="B1465">
        <v>51321001</v>
      </c>
      <c r="C1465">
        <v>16</v>
      </c>
      <c r="D1465">
        <v>900110</v>
      </c>
      <c r="E1465">
        <v>169101</v>
      </c>
      <c r="F1465" t="s">
        <v>115</v>
      </c>
      <c r="G1465" t="s">
        <v>74</v>
      </c>
      <c r="H1465">
        <v>2134400</v>
      </c>
      <c r="I1465">
        <v>0</v>
      </c>
      <c r="J1465">
        <v>2134400</v>
      </c>
      <c r="K1465">
        <v>0</v>
      </c>
      <c r="L1465">
        <v>0</v>
      </c>
    </row>
    <row r="1466" spans="1:12" x14ac:dyDescent="0.25">
      <c r="A1466" t="str">
        <f t="shared" si="22"/>
        <v>9202011680022026M02</v>
      </c>
      <c r="B1466">
        <v>51321001</v>
      </c>
      <c r="C1466">
        <v>16</v>
      </c>
      <c r="D1466">
        <v>920201</v>
      </c>
      <c r="E1466">
        <v>168002</v>
      </c>
      <c r="F1466" t="s">
        <v>115</v>
      </c>
      <c r="G1466" t="s">
        <v>64</v>
      </c>
      <c r="H1466">
        <v>0</v>
      </c>
      <c r="I1466">
        <v>0</v>
      </c>
      <c r="J1466">
        <v>0</v>
      </c>
      <c r="K1466">
        <v>0</v>
      </c>
      <c r="L1466">
        <v>0</v>
      </c>
    </row>
    <row r="1467" spans="1:12" x14ac:dyDescent="0.25">
      <c r="A1467" t="str">
        <f t="shared" si="22"/>
        <v>9202011680022026M03</v>
      </c>
      <c r="B1467">
        <v>51321001</v>
      </c>
      <c r="C1467">
        <v>16</v>
      </c>
      <c r="D1467">
        <v>920201</v>
      </c>
      <c r="E1467">
        <v>168002</v>
      </c>
      <c r="F1467" t="s">
        <v>115</v>
      </c>
      <c r="G1467" t="s">
        <v>65</v>
      </c>
      <c r="H1467">
        <v>60897.86</v>
      </c>
      <c r="I1467">
        <v>60897.86</v>
      </c>
      <c r="J1467">
        <v>0</v>
      </c>
      <c r="K1467">
        <v>0</v>
      </c>
      <c r="L1467">
        <v>0</v>
      </c>
    </row>
    <row r="1468" spans="1:12" x14ac:dyDescent="0.25">
      <c r="A1468" t="str">
        <f t="shared" si="22"/>
        <v>9202011680022026M04</v>
      </c>
      <c r="B1468">
        <v>51321001</v>
      </c>
      <c r="C1468">
        <v>16</v>
      </c>
      <c r="D1468">
        <v>920201</v>
      </c>
      <c r="E1468">
        <v>168002</v>
      </c>
      <c r="F1468" t="s">
        <v>115</v>
      </c>
      <c r="G1468" t="s">
        <v>66</v>
      </c>
      <c r="H1468">
        <v>30448.93</v>
      </c>
      <c r="I1468">
        <v>30448.93</v>
      </c>
      <c r="J1468">
        <v>0</v>
      </c>
      <c r="K1468">
        <v>0</v>
      </c>
      <c r="L1468">
        <v>0</v>
      </c>
    </row>
    <row r="1469" spans="1:12" x14ac:dyDescent="0.25">
      <c r="A1469" t="str">
        <f t="shared" si="22"/>
        <v>9202011680022026M05</v>
      </c>
      <c r="B1469">
        <v>51321001</v>
      </c>
      <c r="C1469">
        <v>16</v>
      </c>
      <c r="D1469">
        <v>920201</v>
      </c>
      <c r="E1469">
        <v>168002</v>
      </c>
      <c r="F1469" t="s">
        <v>115</v>
      </c>
      <c r="G1469" t="s">
        <v>67</v>
      </c>
      <c r="H1469">
        <v>30448.93</v>
      </c>
      <c r="I1469">
        <v>30448.93</v>
      </c>
      <c r="J1469">
        <v>0</v>
      </c>
      <c r="K1469">
        <v>0</v>
      </c>
      <c r="L1469">
        <v>0</v>
      </c>
    </row>
    <row r="1470" spans="1:12" x14ac:dyDescent="0.25">
      <c r="A1470" t="str">
        <f t="shared" si="22"/>
        <v>9202011680022026M06</v>
      </c>
      <c r="B1470">
        <v>51321001</v>
      </c>
      <c r="C1470">
        <v>16</v>
      </c>
      <c r="D1470">
        <v>920201</v>
      </c>
      <c r="E1470">
        <v>168002</v>
      </c>
      <c r="F1470" t="s">
        <v>115</v>
      </c>
      <c r="G1470" t="s">
        <v>68</v>
      </c>
      <c r="H1470">
        <v>30448.93</v>
      </c>
      <c r="I1470">
        <v>30448.93</v>
      </c>
      <c r="J1470">
        <v>0</v>
      </c>
      <c r="K1470">
        <v>0</v>
      </c>
      <c r="L1470">
        <v>0</v>
      </c>
    </row>
    <row r="1471" spans="1:12" x14ac:dyDescent="0.25">
      <c r="A1471" t="str">
        <f t="shared" si="22"/>
        <v>9202011680022026M07</v>
      </c>
      <c r="B1471">
        <v>51321001</v>
      </c>
      <c r="C1471">
        <v>16</v>
      </c>
      <c r="D1471">
        <v>920201</v>
      </c>
      <c r="E1471">
        <v>168002</v>
      </c>
      <c r="F1471" t="s">
        <v>115</v>
      </c>
      <c r="G1471" t="s">
        <v>69</v>
      </c>
      <c r="H1471">
        <v>0</v>
      </c>
      <c r="I1471">
        <v>0</v>
      </c>
      <c r="J1471">
        <v>0</v>
      </c>
      <c r="K1471">
        <v>0</v>
      </c>
      <c r="L1471">
        <v>0</v>
      </c>
    </row>
    <row r="1472" spans="1:12" x14ac:dyDescent="0.25">
      <c r="A1472" t="str">
        <f t="shared" si="22"/>
        <v>9202011680022026M08</v>
      </c>
      <c r="B1472">
        <v>51321001</v>
      </c>
      <c r="C1472">
        <v>16</v>
      </c>
      <c r="D1472">
        <v>920201</v>
      </c>
      <c r="E1472">
        <v>168002</v>
      </c>
      <c r="F1472" t="s">
        <v>115</v>
      </c>
      <c r="G1472" t="s">
        <v>70</v>
      </c>
      <c r="H1472">
        <v>60897.86</v>
      </c>
      <c r="I1472">
        <v>60897.86</v>
      </c>
      <c r="J1472">
        <v>0</v>
      </c>
      <c r="K1472">
        <v>0</v>
      </c>
      <c r="L1472">
        <v>0</v>
      </c>
    </row>
    <row r="1473" spans="1:12" x14ac:dyDescent="0.25">
      <c r="A1473" t="str">
        <f t="shared" si="22"/>
        <v>9202011680022026M09</v>
      </c>
      <c r="B1473">
        <v>51321001</v>
      </c>
      <c r="C1473">
        <v>16</v>
      </c>
      <c r="D1473">
        <v>920201</v>
      </c>
      <c r="E1473">
        <v>168002</v>
      </c>
      <c r="F1473" t="s">
        <v>115</v>
      </c>
      <c r="G1473" t="s">
        <v>71</v>
      </c>
      <c r="H1473">
        <v>30448.93</v>
      </c>
      <c r="I1473">
        <v>30448.93</v>
      </c>
      <c r="J1473">
        <v>0</v>
      </c>
      <c r="K1473">
        <v>0</v>
      </c>
      <c r="L1473">
        <v>0</v>
      </c>
    </row>
    <row r="1474" spans="1:12" x14ac:dyDescent="0.25">
      <c r="A1474" t="str">
        <f t="shared" si="22"/>
        <v>9202011680022026M10</v>
      </c>
      <c r="B1474">
        <v>51321001</v>
      </c>
      <c r="C1474">
        <v>16</v>
      </c>
      <c r="D1474">
        <v>920201</v>
      </c>
      <c r="E1474">
        <v>168002</v>
      </c>
      <c r="F1474" t="s">
        <v>115</v>
      </c>
      <c r="G1474" t="s">
        <v>72</v>
      </c>
      <c r="H1474">
        <v>30458.560000000001</v>
      </c>
      <c r="I1474">
        <v>0</v>
      </c>
      <c r="J1474">
        <v>30458.560000000001</v>
      </c>
      <c r="K1474">
        <v>0</v>
      </c>
      <c r="L1474">
        <v>0</v>
      </c>
    </row>
    <row r="1475" spans="1:12" x14ac:dyDescent="0.25">
      <c r="A1475" t="str">
        <f t="shared" si="22"/>
        <v>9202011680022026M11</v>
      </c>
      <c r="B1475">
        <v>51321001</v>
      </c>
      <c r="C1475">
        <v>16</v>
      </c>
      <c r="D1475">
        <v>920201</v>
      </c>
      <c r="E1475">
        <v>168002</v>
      </c>
      <c r="F1475" t="s">
        <v>115</v>
      </c>
      <c r="G1475" t="s">
        <v>73</v>
      </c>
      <c r="H1475">
        <v>30450</v>
      </c>
      <c r="I1475">
        <v>0</v>
      </c>
      <c r="J1475">
        <v>30450</v>
      </c>
      <c r="K1475">
        <v>0</v>
      </c>
      <c r="L1475">
        <v>0</v>
      </c>
    </row>
    <row r="1476" spans="1:12" x14ac:dyDescent="0.25">
      <c r="A1476" t="str">
        <f t="shared" si="22"/>
        <v>9202011680022026M12</v>
      </c>
      <c r="B1476">
        <v>51321001</v>
      </c>
      <c r="C1476">
        <v>16</v>
      </c>
      <c r="D1476">
        <v>920201</v>
      </c>
      <c r="E1476">
        <v>168002</v>
      </c>
      <c r="F1476" t="s">
        <v>115</v>
      </c>
      <c r="G1476" t="s">
        <v>74</v>
      </c>
      <c r="H1476">
        <v>60900</v>
      </c>
      <c r="I1476">
        <v>0</v>
      </c>
      <c r="J1476">
        <v>60900</v>
      </c>
      <c r="K1476">
        <v>0</v>
      </c>
      <c r="L1476">
        <v>0</v>
      </c>
    </row>
    <row r="1477" spans="1:12" x14ac:dyDescent="0.25">
      <c r="A1477" t="str">
        <f t="shared" si="22"/>
        <v>501001790012026M02</v>
      </c>
      <c r="B1477">
        <v>51321001</v>
      </c>
      <c r="C1477">
        <v>17</v>
      </c>
      <c r="D1477">
        <v>50100</v>
      </c>
      <c r="E1477">
        <v>179001</v>
      </c>
      <c r="F1477" t="s">
        <v>115</v>
      </c>
      <c r="G1477" t="s">
        <v>64</v>
      </c>
      <c r="H1477">
        <v>0</v>
      </c>
      <c r="I1477">
        <v>0</v>
      </c>
      <c r="J1477">
        <v>0</v>
      </c>
      <c r="K1477">
        <v>0</v>
      </c>
      <c r="L1477">
        <v>0</v>
      </c>
    </row>
    <row r="1478" spans="1:12" x14ac:dyDescent="0.25">
      <c r="A1478" t="str">
        <f t="shared" si="22"/>
        <v>501001790012026M03</v>
      </c>
      <c r="B1478">
        <v>51321001</v>
      </c>
      <c r="C1478">
        <v>17</v>
      </c>
      <c r="D1478">
        <v>50100</v>
      </c>
      <c r="E1478">
        <v>179001</v>
      </c>
      <c r="F1478" t="s">
        <v>115</v>
      </c>
      <c r="G1478" t="s">
        <v>65</v>
      </c>
      <c r="H1478">
        <v>0</v>
      </c>
      <c r="I1478">
        <v>0</v>
      </c>
      <c r="J1478">
        <v>0</v>
      </c>
      <c r="K1478">
        <v>0</v>
      </c>
      <c r="L1478">
        <v>0</v>
      </c>
    </row>
    <row r="1479" spans="1:12" x14ac:dyDescent="0.25">
      <c r="A1479" t="str">
        <f t="shared" si="22"/>
        <v>501001790012026M04</v>
      </c>
      <c r="B1479">
        <v>51321001</v>
      </c>
      <c r="C1479">
        <v>17</v>
      </c>
      <c r="D1479">
        <v>50100</v>
      </c>
      <c r="E1479">
        <v>179001</v>
      </c>
      <c r="F1479" t="s">
        <v>115</v>
      </c>
      <c r="G1479" t="s">
        <v>66</v>
      </c>
      <c r="H1479">
        <v>0</v>
      </c>
      <c r="I1479">
        <v>0</v>
      </c>
      <c r="J1479">
        <v>0</v>
      </c>
      <c r="K1479">
        <v>0</v>
      </c>
      <c r="L1479">
        <v>0</v>
      </c>
    </row>
    <row r="1480" spans="1:12" x14ac:dyDescent="0.25">
      <c r="A1480" t="str">
        <f t="shared" si="22"/>
        <v>501001790012026M05</v>
      </c>
      <c r="B1480">
        <v>51321001</v>
      </c>
      <c r="C1480">
        <v>17</v>
      </c>
      <c r="D1480">
        <v>50100</v>
      </c>
      <c r="E1480">
        <v>179001</v>
      </c>
      <c r="F1480" t="s">
        <v>115</v>
      </c>
      <c r="G1480" t="s">
        <v>67</v>
      </c>
      <c r="H1480">
        <v>0</v>
      </c>
      <c r="I1480">
        <v>0</v>
      </c>
      <c r="J1480">
        <v>0</v>
      </c>
      <c r="K1480">
        <v>0</v>
      </c>
      <c r="L1480">
        <v>0</v>
      </c>
    </row>
    <row r="1481" spans="1:12" x14ac:dyDescent="0.25">
      <c r="A1481" t="str">
        <f t="shared" si="22"/>
        <v>501001790012026M06</v>
      </c>
      <c r="B1481">
        <v>51321001</v>
      </c>
      <c r="C1481">
        <v>17</v>
      </c>
      <c r="D1481">
        <v>50100</v>
      </c>
      <c r="E1481">
        <v>179001</v>
      </c>
      <c r="F1481" t="s">
        <v>115</v>
      </c>
      <c r="G1481" t="s">
        <v>68</v>
      </c>
      <c r="H1481">
        <v>0</v>
      </c>
      <c r="I1481">
        <v>0</v>
      </c>
      <c r="J1481">
        <v>0</v>
      </c>
      <c r="K1481">
        <v>0</v>
      </c>
      <c r="L1481">
        <v>0</v>
      </c>
    </row>
    <row r="1482" spans="1:12" x14ac:dyDescent="0.25">
      <c r="A1482" t="str">
        <f t="shared" si="22"/>
        <v>501001790012026M07</v>
      </c>
      <c r="B1482">
        <v>51321001</v>
      </c>
      <c r="C1482">
        <v>17</v>
      </c>
      <c r="D1482">
        <v>50100</v>
      </c>
      <c r="E1482">
        <v>179001</v>
      </c>
      <c r="F1482" t="s">
        <v>115</v>
      </c>
      <c r="G1482" t="s">
        <v>69</v>
      </c>
      <c r="H1482">
        <v>0</v>
      </c>
      <c r="I1482">
        <v>0</v>
      </c>
      <c r="J1482">
        <v>0</v>
      </c>
      <c r="K1482">
        <v>0</v>
      </c>
      <c r="L1482">
        <v>0</v>
      </c>
    </row>
    <row r="1483" spans="1:12" x14ac:dyDescent="0.25">
      <c r="A1483" t="str">
        <f t="shared" ref="A1483:A1546" si="23">D1483&amp;E1483&amp;G1483</f>
        <v>501001790012026M08</v>
      </c>
      <c r="B1483">
        <v>51321001</v>
      </c>
      <c r="C1483">
        <v>17</v>
      </c>
      <c r="D1483">
        <v>50100</v>
      </c>
      <c r="E1483">
        <v>179001</v>
      </c>
      <c r="F1483" t="s">
        <v>115</v>
      </c>
      <c r="G1483" t="s">
        <v>70</v>
      </c>
      <c r="H1483">
        <v>0</v>
      </c>
      <c r="I1483">
        <v>0</v>
      </c>
      <c r="J1483">
        <v>0</v>
      </c>
      <c r="K1483">
        <v>0</v>
      </c>
      <c r="L1483">
        <v>0</v>
      </c>
    </row>
    <row r="1484" spans="1:12" x14ac:dyDescent="0.25">
      <c r="A1484" t="str">
        <f t="shared" si="23"/>
        <v>501001790012026M09</v>
      </c>
      <c r="B1484">
        <v>51321001</v>
      </c>
      <c r="C1484">
        <v>17</v>
      </c>
      <c r="D1484">
        <v>50100</v>
      </c>
      <c r="E1484">
        <v>179001</v>
      </c>
      <c r="F1484" t="s">
        <v>115</v>
      </c>
      <c r="G1484" t="s">
        <v>71</v>
      </c>
      <c r="H1484">
        <v>0</v>
      </c>
      <c r="I1484">
        <v>0</v>
      </c>
      <c r="J1484">
        <v>0</v>
      </c>
      <c r="K1484">
        <v>0</v>
      </c>
      <c r="L1484">
        <v>0</v>
      </c>
    </row>
    <row r="1485" spans="1:12" x14ac:dyDescent="0.25">
      <c r="A1485" t="str">
        <f t="shared" si="23"/>
        <v>501001790012026M10</v>
      </c>
      <c r="B1485">
        <v>51321001</v>
      </c>
      <c r="C1485">
        <v>17</v>
      </c>
      <c r="D1485">
        <v>50100</v>
      </c>
      <c r="E1485">
        <v>179001</v>
      </c>
      <c r="F1485" t="s">
        <v>115</v>
      </c>
      <c r="G1485" t="s">
        <v>72</v>
      </c>
      <c r="H1485">
        <v>0</v>
      </c>
      <c r="I1485">
        <v>0</v>
      </c>
      <c r="J1485">
        <v>0</v>
      </c>
      <c r="K1485">
        <v>0</v>
      </c>
      <c r="L1485">
        <v>0</v>
      </c>
    </row>
    <row r="1486" spans="1:12" x14ac:dyDescent="0.25">
      <c r="A1486" t="str">
        <f t="shared" si="23"/>
        <v>501001790012026M11</v>
      </c>
      <c r="B1486">
        <v>51321001</v>
      </c>
      <c r="C1486">
        <v>17</v>
      </c>
      <c r="D1486">
        <v>50100</v>
      </c>
      <c r="E1486">
        <v>179001</v>
      </c>
      <c r="F1486" t="s">
        <v>115</v>
      </c>
      <c r="G1486" t="s">
        <v>73</v>
      </c>
      <c r="H1486">
        <v>0</v>
      </c>
      <c r="I1486">
        <v>0</v>
      </c>
      <c r="J1486">
        <v>0</v>
      </c>
      <c r="K1486">
        <v>0</v>
      </c>
      <c r="L1486">
        <v>0</v>
      </c>
    </row>
    <row r="1487" spans="1:12" x14ac:dyDescent="0.25">
      <c r="A1487" t="str">
        <f t="shared" si="23"/>
        <v>501001790012026M12</v>
      </c>
      <c r="B1487">
        <v>51321001</v>
      </c>
      <c r="C1487">
        <v>17</v>
      </c>
      <c r="D1487">
        <v>50100</v>
      </c>
      <c r="E1487">
        <v>179001</v>
      </c>
      <c r="F1487" t="s">
        <v>115</v>
      </c>
      <c r="G1487" t="s">
        <v>74</v>
      </c>
      <c r="H1487">
        <v>0</v>
      </c>
      <c r="I1487">
        <v>0</v>
      </c>
      <c r="J1487">
        <v>0</v>
      </c>
      <c r="K1487">
        <v>0</v>
      </c>
      <c r="L1487">
        <v>0</v>
      </c>
    </row>
    <row r="1488" spans="1:12" x14ac:dyDescent="0.25">
      <c r="A1488" t="str">
        <f t="shared" si="23"/>
        <v>1401001790012026M02</v>
      </c>
      <c r="B1488">
        <v>51321001</v>
      </c>
      <c r="C1488">
        <v>17</v>
      </c>
      <c r="D1488">
        <v>140100</v>
      </c>
      <c r="E1488">
        <v>179001</v>
      </c>
      <c r="F1488" t="s">
        <v>115</v>
      </c>
      <c r="G1488" t="s">
        <v>64</v>
      </c>
      <c r="H1488">
        <v>0</v>
      </c>
      <c r="I1488">
        <v>0</v>
      </c>
      <c r="J1488">
        <v>0</v>
      </c>
      <c r="K1488">
        <v>0</v>
      </c>
      <c r="L1488">
        <v>0</v>
      </c>
    </row>
    <row r="1489" spans="1:12" x14ac:dyDescent="0.25">
      <c r="A1489" t="str">
        <f t="shared" si="23"/>
        <v>1401001790012026M03</v>
      </c>
      <c r="B1489">
        <v>51321001</v>
      </c>
      <c r="C1489">
        <v>17</v>
      </c>
      <c r="D1489">
        <v>140100</v>
      </c>
      <c r="E1489">
        <v>179001</v>
      </c>
      <c r="F1489" t="s">
        <v>115</v>
      </c>
      <c r="G1489" t="s">
        <v>65</v>
      </c>
      <c r="H1489">
        <v>0</v>
      </c>
      <c r="I1489">
        <v>0</v>
      </c>
      <c r="J1489">
        <v>0</v>
      </c>
      <c r="K1489">
        <v>0</v>
      </c>
      <c r="L1489">
        <v>0</v>
      </c>
    </row>
    <row r="1490" spans="1:12" x14ac:dyDescent="0.25">
      <c r="A1490" t="str">
        <f t="shared" si="23"/>
        <v>1401001790012026M04</v>
      </c>
      <c r="B1490">
        <v>51321001</v>
      </c>
      <c r="C1490">
        <v>17</v>
      </c>
      <c r="D1490">
        <v>140100</v>
      </c>
      <c r="E1490">
        <v>179001</v>
      </c>
      <c r="F1490" t="s">
        <v>115</v>
      </c>
      <c r="G1490" t="s">
        <v>66</v>
      </c>
      <c r="H1490">
        <v>0</v>
      </c>
      <c r="I1490">
        <v>0</v>
      </c>
      <c r="J1490">
        <v>0</v>
      </c>
      <c r="K1490">
        <v>0</v>
      </c>
      <c r="L1490">
        <v>0</v>
      </c>
    </row>
    <row r="1491" spans="1:12" x14ac:dyDescent="0.25">
      <c r="A1491" t="str">
        <f t="shared" si="23"/>
        <v>1401001790012026M05</v>
      </c>
      <c r="B1491">
        <v>51321001</v>
      </c>
      <c r="C1491">
        <v>17</v>
      </c>
      <c r="D1491">
        <v>140100</v>
      </c>
      <c r="E1491">
        <v>179001</v>
      </c>
      <c r="F1491" t="s">
        <v>115</v>
      </c>
      <c r="G1491" t="s">
        <v>67</v>
      </c>
      <c r="H1491">
        <v>0</v>
      </c>
      <c r="I1491">
        <v>0</v>
      </c>
      <c r="J1491">
        <v>0</v>
      </c>
      <c r="K1491">
        <v>0</v>
      </c>
      <c r="L1491">
        <v>0</v>
      </c>
    </row>
    <row r="1492" spans="1:12" x14ac:dyDescent="0.25">
      <c r="A1492" t="str">
        <f t="shared" si="23"/>
        <v>1401001790012026M06</v>
      </c>
      <c r="B1492">
        <v>51321001</v>
      </c>
      <c r="C1492">
        <v>17</v>
      </c>
      <c r="D1492">
        <v>140100</v>
      </c>
      <c r="E1492">
        <v>179001</v>
      </c>
      <c r="F1492" t="s">
        <v>115</v>
      </c>
      <c r="G1492" t="s">
        <v>68</v>
      </c>
      <c r="H1492">
        <v>0</v>
      </c>
      <c r="I1492">
        <v>0</v>
      </c>
      <c r="J1492">
        <v>0</v>
      </c>
      <c r="K1492">
        <v>0</v>
      </c>
      <c r="L1492">
        <v>0</v>
      </c>
    </row>
    <row r="1493" spans="1:12" x14ac:dyDescent="0.25">
      <c r="A1493" t="str">
        <f t="shared" si="23"/>
        <v>1401001790012026M07</v>
      </c>
      <c r="B1493">
        <v>51321001</v>
      </c>
      <c r="C1493">
        <v>17</v>
      </c>
      <c r="D1493">
        <v>140100</v>
      </c>
      <c r="E1493">
        <v>179001</v>
      </c>
      <c r="F1493" t="s">
        <v>115</v>
      </c>
      <c r="G1493" t="s">
        <v>69</v>
      </c>
      <c r="H1493">
        <v>0</v>
      </c>
      <c r="I1493">
        <v>0</v>
      </c>
      <c r="J1493">
        <v>0</v>
      </c>
      <c r="K1493">
        <v>0</v>
      </c>
      <c r="L1493">
        <v>0</v>
      </c>
    </row>
    <row r="1494" spans="1:12" x14ac:dyDescent="0.25">
      <c r="A1494" t="str">
        <f t="shared" si="23"/>
        <v>1401001790012026M08</v>
      </c>
      <c r="B1494">
        <v>51321001</v>
      </c>
      <c r="C1494">
        <v>17</v>
      </c>
      <c r="D1494">
        <v>140100</v>
      </c>
      <c r="E1494">
        <v>179001</v>
      </c>
      <c r="F1494" t="s">
        <v>115</v>
      </c>
      <c r="G1494" t="s">
        <v>70</v>
      </c>
      <c r="H1494">
        <v>0</v>
      </c>
      <c r="I1494">
        <v>0</v>
      </c>
      <c r="J1494">
        <v>0</v>
      </c>
      <c r="K1494">
        <v>0</v>
      </c>
      <c r="L1494">
        <v>0</v>
      </c>
    </row>
    <row r="1495" spans="1:12" x14ac:dyDescent="0.25">
      <c r="A1495" t="str">
        <f t="shared" si="23"/>
        <v>1401001790012026M09</v>
      </c>
      <c r="B1495">
        <v>51321001</v>
      </c>
      <c r="C1495">
        <v>17</v>
      </c>
      <c r="D1495">
        <v>140100</v>
      </c>
      <c r="E1495">
        <v>179001</v>
      </c>
      <c r="F1495" t="s">
        <v>115</v>
      </c>
      <c r="G1495" t="s">
        <v>71</v>
      </c>
      <c r="H1495">
        <v>0</v>
      </c>
      <c r="I1495">
        <v>0</v>
      </c>
      <c r="J1495">
        <v>0</v>
      </c>
      <c r="K1495">
        <v>0</v>
      </c>
      <c r="L1495">
        <v>0</v>
      </c>
    </row>
    <row r="1496" spans="1:12" x14ac:dyDescent="0.25">
      <c r="A1496" t="str">
        <f t="shared" si="23"/>
        <v>1401001790012026M10</v>
      </c>
      <c r="B1496">
        <v>51321001</v>
      </c>
      <c r="C1496">
        <v>17</v>
      </c>
      <c r="D1496">
        <v>140100</v>
      </c>
      <c r="E1496">
        <v>179001</v>
      </c>
      <c r="F1496" t="s">
        <v>115</v>
      </c>
      <c r="G1496" t="s">
        <v>72</v>
      </c>
      <c r="H1496">
        <v>0</v>
      </c>
      <c r="I1496">
        <v>0</v>
      </c>
      <c r="J1496">
        <v>0</v>
      </c>
      <c r="K1496">
        <v>0</v>
      </c>
      <c r="L1496">
        <v>0</v>
      </c>
    </row>
    <row r="1497" spans="1:12" x14ac:dyDescent="0.25">
      <c r="A1497" t="str">
        <f t="shared" si="23"/>
        <v>1401001790012026M11</v>
      </c>
      <c r="B1497">
        <v>51321001</v>
      </c>
      <c r="C1497">
        <v>17</v>
      </c>
      <c r="D1497">
        <v>140100</v>
      </c>
      <c r="E1497">
        <v>179001</v>
      </c>
      <c r="F1497" t="s">
        <v>115</v>
      </c>
      <c r="G1497" t="s">
        <v>73</v>
      </c>
      <c r="H1497">
        <v>0</v>
      </c>
      <c r="I1497">
        <v>0</v>
      </c>
      <c r="J1497">
        <v>0</v>
      </c>
      <c r="K1497">
        <v>0</v>
      </c>
      <c r="L1497">
        <v>0</v>
      </c>
    </row>
    <row r="1498" spans="1:12" x14ac:dyDescent="0.25">
      <c r="A1498" t="str">
        <f t="shared" si="23"/>
        <v>1401001790012026M12</v>
      </c>
      <c r="B1498">
        <v>51321001</v>
      </c>
      <c r="C1498">
        <v>17</v>
      </c>
      <c r="D1498">
        <v>140100</v>
      </c>
      <c r="E1498">
        <v>179001</v>
      </c>
      <c r="F1498" t="s">
        <v>115</v>
      </c>
      <c r="G1498" t="s">
        <v>74</v>
      </c>
      <c r="H1498">
        <v>0</v>
      </c>
      <c r="I1498">
        <v>0</v>
      </c>
      <c r="J1498">
        <v>0</v>
      </c>
      <c r="K1498">
        <v>0</v>
      </c>
      <c r="L1498">
        <v>0</v>
      </c>
    </row>
    <row r="1499" spans="1:12" x14ac:dyDescent="0.25">
      <c r="A1499" t="str">
        <f t="shared" si="23"/>
        <v>1509041781022026M02</v>
      </c>
      <c r="B1499">
        <v>51321001</v>
      </c>
      <c r="C1499">
        <v>17</v>
      </c>
      <c r="D1499">
        <v>150904</v>
      </c>
      <c r="E1499">
        <v>178102</v>
      </c>
      <c r="F1499" t="s">
        <v>115</v>
      </c>
      <c r="G1499" t="s">
        <v>64</v>
      </c>
      <c r="H1499">
        <v>0</v>
      </c>
      <c r="I1499">
        <v>0</v>
      </c>
      <c r="J1499">
        <v>0</v>
      </c>
      <c r="K1499">
        <v>0</v>
      </c>
      <c r="L1499">
        <v>0</v>
      </c>
    </row>
    <row r="1500" spans="1:12" x14ac:dyDescent="0.25">
      <c r="A1500" t="str">
        <f t="shared" si="23"/>
        <v>1509041781022026M03</v>
      </c>
      <c r="B1500">
        <v>51321001</v>
      </c>
      <c r="C1500">
        <v>17</v>
      </c>
      <c r="D1500">
        <v>150904</v>
      </c>
      <c r="E1500">
        <v>178102</v>
      </c>
      <c r="F1500" t="s">
        <v>115</v>
      </c>
      <c r="G1500" t="s">
        <v>65</v>
      </c>
      <c r="H1500">
        <v>0</v>
      </c>
      <c r="I1500">
        <v>0</v>
      </c>
      <c r="J1500">
        <v>0</v>
      </c>
      <c r="K1500">
        <v>0</v>
      </c>
      <c r="L1500">
        <v>0</v>
      </c>
    </row>
    <row r="1501" spans="1:12" x14ac:dyDescent="0.25">
      <c r="A1501" t="str">
        <f t="shared" si="23"/>
        <v>1509041781022026M04</v>
      </c>
      <c r="B1501">
        <v>51321001</v>
      </c>
      <c r="C1501">
        <v>17</v>
      </c>
      <c r="D1501">
        <v>150904</v>
      </c>
      <c r="E1501">
        <v>178102</v>
      </c>
      <c r="F1501" t="s">
        <v>115</v>
      </c>
      <c r="G1501" t="s">
        <v>66</v>
      </c>
      <c r="H1501">
        <v>0</v>
      </c>
      <c r="I1501">
        <v>0</v>
      </c>
      <c r="J1501">
        <v>0</v>
      </c>
      <c r="K1501">
        <v>0</v>
      </c>
      <c r="L1501">
        <v>0</v>
      </c>
    </row>
    <row r="1502" spans="1:12" x14ac:dyDescent="0.25">
      <c r="A1502" t="str">
        <f t="shared" si="23"/>
        <v>1509041781022026M05</v>
      </c>
      <c r="B1502">
        <v>51321001</v>
      </c>
      <c r="C1502">
        <v>17</v>
      </c>
      <c r="D1502">
        <v>150904</v>
      </c>
      <c r="E1502">
        <v>178102</v>
      </c>
      <c r="F1502" t="s">
        <v>115</v>
      </c>
      <c r="G1502" t="s">
        <v>67</v>
      </c>
      <c r="H1502">
        <v>0</v>
      </c>
      <c r="I1502">
        <v>0</v>
      </c>
      <c r="J1502">
        <v>0</v>
      </c>
      <c r="K1502">
        <v>0</v>
      </c>
      <c r="L1502">
        <v>0</v>
      </c>
    </row>
    <row r="1503" spans="1:12" x14ac:dyDescent="0.25">
      <c r="A1503" t="str">
        <f t="shared" si="23"/>
        <v>1509041781022026M06</v>
      </c>
      <c r="B1503">
        <v>51321001</v>
      </c>
      <c r="C1503">
        <v>17</v>
      </c>
      <c r="D1503">
        <v>150904</v>
      </c>
      <c r="E1503">
        <v>178102</v>
      </c>
      <c r="F1503" t="s">
        <v>115</v>
      </c>
      <c r="G1503" t="s">
        <v>68</v>
      </c>
      <c r="H1503">
        <v>0</v>
      </c>
      <c r="I1503">
        <v>0</v>
      </c>
      <c r="J1503">
        <v>0</v>
      </c>
      <c r="K1503">
        <v>0</v>
      </c>
      <c r="L1503">
        <v>0</v>
      </c>
    </row>
    <row r="1504" spans="1:12" x14ac:dyDescent="0.25">
      <c r="A1504" t="str">
        <f t="shared" si="23"/>
        <v>1509041781022026M07</v>
      </c>
      <c r="B1504">
        <v>51321001</v>
      </c>
      <c r="C1504">
        <v>17</v>
      </c>
      <c r="D1504">
        <v>150904</v>
      </c>
      <c r="E1504">
        <v>178102</v>
      </c>
      <c r="F1504" t="s">
        <v>115</v>
      </c>
      <c r="G1504" t="s">
        <v>69</v>
      </c>
      <c r="H1504">
        <v>442307.27</v>
      </c>
      <c r="I1504">
        <v>442307.27</v>
      </c>
      <c r="J1504">
        <v>0</v>
      </c>
      <c r="K1504">
        <v>0</v>
      </c>
      <c r="L1504">
        <v>0</v>
      </c>
    </row>
    <row r="1505" spans="1:12" x14ac:dyDescent="0.25">
      <c r="A1505" t="str">
        <f t="shared" si="23"/>
        <v>1509041781022026M08</v>
      </c>
      <c r="B1505">
        <v>51321001</v>
      </c>
      <c r="C1505">
        <v>17</v>
      </c>
      <c r="D1505">
        <v>150904</v>
      </c>
      <c r="E1505">
        <v>178102</v>
      </c>
      <c r="F1505" t="s">
        <v>115</v>
      </c>
      <c r="G1505" t="s">
        <v>70</v>
      </c>
      <c r="H1505">
        <v>73718.070000000007</v>
      </c>
      <c r="I1505">
        <v>73718.070000000007</v>
      </c>
      <c r="J1505">
        <v>0</v>
      </c>
      <c r="K1505">
        <v>0</v>
      </c>
      <c r="L1505">
        <v>0</v>
      </c>
    </row>
    <row r="1506" spans="1:12" x14ac:dyDescent="0.25">
      <c r="A1506" t="str">
        <f t="shared" si="23"/>
        <v>1509041781022026M09</v>
      </c>
      <c r="B1506">
        <v>51321001</v>
      </c>
      <c r="C1506">
        <v>17</v>
      </c>
      <c r="D1506">
        <v>150904</v>
      </c>
      <c r="E1506">
        <v>178102</v>
      </c>
      <c r="F1506" t="s">
        <v>115</v>
      </c>
      <c r="G1506" t="s">
        <v>71</v>
      </c>
      <c r="H1506">
        <v>73718.070000000007</v>
      </c>
      <c r="I1506">
        <v>73718.070000000007</v>
      </c>
      <c r="J1506">
        <v>0</v>
      </c>
      <c r="K1506">
        <v>0</v>
      </c>
      <c r="L1506">
        <v>0</v>
      </c>
    </row>
    <row r="1507" spans="1:12" x14ac:dyDescent="0.25">
      <c r="A1507" t="str">
        <f t="shared" si="23"/>
        <v>1509041781022026M10</v>
      </c>
      <c r="B1507">
        <v>51321001</v>
      </c>
      <c r="C1507">
        <v>17</v>
      </c>
      <c r="D1507">
        <v>150904</v>
      </c>
      <c r="E1507">
        <v>178102</v>
      </c>
      <c r="F1507" t="s">
        <v>115</v>
      </c>
      <c r="G1507" t="s">
        <v>72</v>
      </c>
      <c r="H1507">
        <v>73718.59</v>
      </c>
      <c r="I1507">
        <v>73718.070000000007</v>
      </c>
      <c r="J1507">
        <v>0.52</v>
      </c>
      <c r="K1507">
        <v>0</v>
      </c>
      <c r="L1507">
        <v>0</v>
      </c>
    </row>
    <row r="1508" spans="1:12" x14ac:dyDescent="0.25">
      <c r="A1508" t="str">
        <f t="shared" si="23"/>
        <v>1509041781022026M11</v>
      </c>
      <c r="B1508">
        <v>51321001</v>
      </c>
      <c r="C1508">
        <v>17</v>
      </c>
      <c r="D1508">
        <v>150904</v>
      </c>
      <c r="E1508">
        <v>178102</v>
      </c>
      <c r="F1508" t="s">
        <v>115</v>
      </c>
      <c r="G1508" t="s">
        <v>73</v>
      </c>
      <c r="H1508">
        <v>73718</v>
      </c>
      <c r="I1508">
        <v>0</v>
      </c>
      <c r="J1508">
        <v>73718</v>
      </c>
      <c r="K1508">
        <v>0</v>
      </c>
      <c r="L1508">
        <v>0</v>
      </c>
    </row>
    <row r="1509" spans="1:12" x14ac:dyDescent="0.25">
      <c r="A1509" t="str">
        <f t="shared" si="23"/>
        <v>1509041781022026M12</v>
      </c>
      <c r="B1509">
        <v>51321001</v>
      </c>
      <c r="C1509">
        <v>17</v>
      </c>
      <c r="D1509">
        <v>150904</v>
      </c>
      <c r="E1509">
        <v>178102</v>
      </c>
      <c r="F1509" t="s">
        <v>115</v>
      </c>
      <c r="G1509" t="s">
        <v>74</v>
      </c>
      <c r="H1509">
        <v>147436</v>
      </c>
      <c r="I1509">
        <v>0</v>
      </c>
      <c r="J1509">
        <v>147436</v>
      </c>
      <c r="K1509">
        <v>0</v>
      </c>
      <c r="L1509">
        <v>0</v>
      </c>
    </row>
    <row r="1510" spans="1:12" x14ac:dyDescent="0.25">
      <c r="A1510" t="str">
        <f t="shared" si="23"/>
        <v>3102031753032026M02</v>
      </c>
      <c r="B1510">
        <v>51321001</v>
      </c>
      <c r="C1510">
        <v>17</v>
      </c>
      <c r="D1510">
        <v>310203</v>
      </c>
      <c r="E1510">
        <v>175303</v>
      </c>
      <c r="F1510" t="s">
        <v>115</v>
      </c>
      <c r="G1510" t="s">
        <v>64</v>
      </c>
      <c r="H1510">
        <v>0</v>
      </c>
      <c r="I1510">
        <v>0</v>
      </c>
      <c r="J1510">
        <v>0</v>
      </c>
      <c r="K1510">
        <v>0</v>
      </c>
      <c r="L1510">
        <v>0</v>
      </c>
    </row>
    <row r="1511" spans="1:12" x14ac:dyDescent="0.25">
      <c r="A1511" t="str">
        <f t="shared" si="23"/>
        <v>3102031753032026M03</v>
      </c>
      <c r="B1511">
        <v>51321001</v>
      </c>
      <c r="C1511">
        <v>17</v>
      </c>
      <c r="D1511">
        <v>310203</v>
      </c>
      <c r="E1511">
        <v>175303</v>
      </c>
      <c r="F1511" t="s">
        <v>115</v>
      </c>
      <c r="G1511" t="s">
        <v>65</v>
      </c>
      <c r="H1511">
        <v>0</v>
      </c>
      <c r="I1511">
        <v>0</v>
      </c>
      <c r="J1511">
        <v>0</v>
      </c>
      <c r="K1511">
        <v>0</v>
      </c>
      <c r="L1511">
        <v>0</v>
      </c>
    </row>
    <row r="1512" spans="1:12" x14ac:dyDescent="0.25">
      <c r="A1512" t="str">
        <f t="shared" si="23"/>
        <v>3102031753032026M04</v>
      </c>
      <c r="B1512">
        <v>51321001</v>
      </c>
      <c r="C1512">
        <v>17</v>
      </c>
      <c r="D1512">
        <v>310203</v>
      </c>
      <c r="E1512">
        <v>175303</v>
      </c>
      <c r="F1512" t="s">
        <v>115</v>
      </c>
      <c r="G1512" t="s">
        <v>66</v>
      </c>
      <c r="H1512">
        <v>0</v>
      </c>
      <c r="I1512">
        <v>0</v>
      </c>
      <c r="J1512">
        <v>0</v>
      </c>
      <c r="K1512">
        <v>0</v>
      </c>
      <c r="L1512">
        <v>0</v>
      </c>
    </row>
    <row r="1513" spans="1:12" x14ac:dyDescent="0.25">
      <c r="A1513" t="str">
        <f t="shared" si="23"/>
        <v>3102031753032026M05</v>
      </c>
      <c r="B1513">
        <v>51321001</v>
      </c>
      <c r="C1513">
        <v>17</v>
      </c>
      <c r="D1513">
        <v>310203</v>
      </c>
      <c r="E1513">
        <v>175303</v>
      </c>
      <c r="F1513" t="s">
        <v>115</v>
      </c>
      <c r="G1513" t="s">
        <v>67</v>
      </c>
      <c r="H1513">
        <v>0</v>
      </c>
      <c r="I1513">
        <v>0</v>
      </c>
      <c r="J1513">
        <v>0</v>
      </c>
      <c r="K1513">
        <v>0</v>
      </c>
      <c r="L1513">
        <v>0</v>
      </c>
    </row>
    <row r="1514" spans="1:12" x14ac:dyDescent="0.25">
      <c r="A1514" t="str">
        <f t="shared" si="23"/>
        <v>3102031753032026M06</v>
      </c>
      <c r="B1514">
        <v>51321001</v>
      </c>
      <c r="C1514">
        <v>17</v>
      </c>
      <c r="D1514">
        <v>310203</v>
      </c>
      <c r="E1514">
        <v>175303</v>
      </c>
      <c r="F1514" t="s">
        <v>115</v>
      </c>
      <c r="G1514" t="s">
        <v>68</v>
      </c>
      <c r="H1514">
        <v>0</v>
      </c>
      <c r="I1514">
        <v>0</v>
      </c>
      <c r="J1514">
        <v>0</v>
      </c>
      <c r="K1514">
        <v>0</v>
      </c>
      <c r="L1514">
        <v>0</v>
      </c>
    </row>
    <row r="1515" spans="1:12" x14ac:dyDescent="0.25">
      <c r="A1515" t="str">
        <f t="shared" si="23"/>
        <v>3102031753032026M07</v>
      </c>
      <c r="B1515">
        <v>51321001</v>
      </c>
      <c r="C1515">
        <v>17</v>
      </c>
      <c r="D1515">
        <v>310203</v>
      </c>
      <c r="E1515">
        <v>175303</v>
      </c>
      <c r="F1515" t="s">
        <v>115</v>
      </c>
      <c r="G1515" t="s">
        <v>69</v>
      </c>
      <c r="H1515">
        <v>0</v>
      </c>
      <c r="I1515">
        <v>0</v>
      </c>
      <c r="J1515">
        <v>0</v>
      </c>
      <c r="K1515">
        <v>0</v>
      </c>
      <c r="L1515">
        <v>0</v>
      </c>
    </row>
    <row r="1516" spans="1:12" x14ac:dyDescent="0.25">
      <c r="A1516" t="str">
        <f t="shared" si="23"/>
        <v>3102031753032026M08</v>
      </c>
      <c r="B1516">
        <v>51321001</v>
      </c>
      <c r="C1516">
        <v>17</v>
      </c>
      <c r="D1516">
        <v>310203</v>
      </c>
      <c r="E1516">
        <v>175303</v>
      </c>
      <c r="F1516" t="s">
        <v>115</v>
      </c>
      <c r="G1516" t="s">
        <v>70</v>
      </c>
      <c r="H1516">
        <v>0</v>
      </c>
      <c r="I1516">
        <v>0</v>
      </c>
      <c r="J1516">
        <v>0</v>
      </c>
      <c r="K1516">
        <v>0</v>
      </c>
      <c r="L1516">
        <v>0</v>
      </c>
    </row>
    <row r="1517" spans="1:12" x14ac:dyDescent="0.25">
      <c r="A1517" t="str">
        <f t="shared" si="23"/>
        <v>3102031753032026M09</v>
      </c>
      <c r="B1517">
        <v>51321001</v>
      </c>
      <c r="C1517">
        <v>17</v>
      </c>
      <c r="D1517">
        <v>310203</v>
      </c>
      <c r="E1517">
        <v>175303</v>
      </c>
      <c r="F1517" t="s">
        <v>115</v>
      </c>
      <c r="G1517" t="s">
        <v>71</v>
      </c>
      <c r="H1517">
        <v>0</v>
      </c>
      <c r="I1517">
        <v>0</v>
      </c>
      <c r="J1517">
        <v>0</v>
      </c>
      <c r="K1517">
        <v>0</v>
      </c>
      <c r="L1517">
        <v>0</v>
      </c>
    </row>
    <row r="1518" spans="1:12" x14ac:dyDescent="0.25">
      <c r="A1518" t="str">
        <f t="shared" si="23"/>
        <v>3102031753032026M10</v>
      </c>
      <c r="B1518">
        <v>51321001</v>
      </c>
      <c r="C1518">
        <v>17</v>
      </c>
      <c r="D1518">
        <v>310203</v>
      </c>
      <c r="E1518">
        <v>175303</v>
      </c>
      <c r="F1518" t="s">
        <v>115</v>
      </c>
      <c r="G1518" t="s">
        <v>72</v>
      </c>
      <c r="H1518">
        <v>313200</v>
      </c>
      <c r="I1518">
        <v>0</v>
      </c>
      <c r="J1518">
        <v>313200</v>
      </c>
      <c r="K1518">
        <v>0</v>
      </c>
      <c r="L1518">
        <v>0</v>
      </c>
    </row>
    <row r="1519" spans="1:12" x14ac:dyDescent="0.25">
      <c r="A1519" t="str">
        <f t="shared" si="23"/>
        <v>3102031753032026M11</v>
      </c>
      <c r="B1519">
        <v>51321001</v>
      </c>
      <c r="C1519">
        <v>17</v>
      </c>
      <c r="D1519">
        <v>310203</v>
      </c>
      <c r="E1519">
        <v>175303</v>
      </c>
      <c r="F1519" t="s">
        <v>115</v>
      </c>
      <c r="G1519" t="s">
        <v>73</v>
      </c>
      <c r="H1519">
        <v>34800</v>
      </c>
      <c r="I1519">
        <v>0</v>
      </c>
      <c r="J1519">
        <v>34800</v>
      </c>
      <c r="K1519">
        <v>0</v>
      </c>
      <c r="L1519">
        <v>0</v>
      </c>
    </row>
    <row r="1520" spans="1:12" x14ac:dyDescent="0.25">
      <c r="A1520" t="str">
        <f t="shared" si="23"/>
        <v>3102031753032026M12</v>
      </c>
      <c r="B1520">
        <v>51321001</v>
      </c>
      <c r="C1520">
        <v>17</v>
      </c>
      <c r="D1520">
        <v>310203</v>
      </c>
      <c r="E1520">
        <v>175303</v>
      </c>
      <c r="F1520" t="s">
        <v>115</v>
      </c>
      <c r="G1520" t="s">
        <v>74</v>
      </c>
      <c r="H1520">
        <v>69600</v>
      </c>
      <c r="I1520">
        <v>0</v>
      </c>
      <c r="J1520">
        <v>69600</v>
      </c>
      <c r="K1520">
        <v>0</v>
      </c>
      <c r="L1520">
        <v>0</v>
      </c>
    </row>
    <row r="1521" spans="1:12" x14ac:dyDescent="0.25">
      <c r="A1521" t="str">
        <f t="shared" si="23"/>
        <v>3802001759012026M02</v>
      </c>
      <c r="B1521">
        <v>51321001</v>
      </c>
      <c r="C1521">
        <v>17</v>
      </c>
      <c r="D1521">
        <v>380200</v>
      </c>
      <c r="E1521">
        <v>175901</v>
      </c>
      <c r="F1521" t="s">
        <v>115</v>
      </c>
      <c r="G1521" t="s">
        <v>64</v>
      </c>
      <c r="H1521">
        <v>0</v>
      </c>
      <c r="I1521">
        <v>0</v>
      </c>
      <c r="J1521">
        <v>0</v>
      </c>
      <c r="K1521">
        <v>0</v>
      </c>
      <c r="L1521">
        <v>0</v>
      </c>
    </row>
    <row r="1522" spans="1:12" x14ac:dyDescent="0.25">
      <c r="A1522" t="str">
        <f t="shared" si="23"/>
        <v>3802001759012026M03</v>
      </c>
      <c r="B1522">
        <v>51321001</v>
      </c>
      <c r="C1522">
        <v>17</v>
      </c>
      <c r="D1522">
        <v>380200</v>
      </c>
      <c r="E1522">
        <v>175901</v>
      </c>
      <c r="F1522" t="s">
        <v>115</v>
      </c>
      <c r="G1522" t="s">
        <v>65</v>
      </c>
      <c r="H1522">
        <v>0</v>
      </c>
      <c r="I1522">
        <v>0</v>
      </c>
      <c r="J1522">
        <v>0</v>
      </c>
      <c r="K1522">
        <v>0</v>
      </c>
      <c r="L1522">
        <v>0</v>
      </c>
    </row>
    <row r="1523" spans="1:12" x14ac:dyDescent="0.25">
      <c r="A1523" t="str">
        <f t="shared" si="23"/>
        <v>3802001759012026M04</v>
      </c>
      <c r="B1523">
        <v>51321001</v>
      </c>
      <c r="C1523">
        <v>17</v>
      </c>
      <c r="D1523">
        <v>380200</v>
      </c>
      <c r="E1523">
        <v>175901</v>
      </c>
      <c r="F1523" t="s">
        <v>115</v>
      </c>
      <c r="G1523" t="s">
        <v>66</v>
      </c>
      <c r="H1523">
        <v>0</v>
      </c>
      <c r="I1523">
        <v>0</v>
      </c>
      <c r="J1523">
        <v>0</v>
      </c>
      <c r="K1523">
        <v>0</v>
      </c>
      <c r="L1523">
        <v>0</v>
      </c>
    </row>
    <row r="1524" spans="1:12" x14ac:dyDescent="0.25">
      <c r="A1524" t="str">
        <f t="shared" si="23"/>
        <v>3802001759012026M05</v>
      </c>
      <c r="B1524">
        <v>51321001</v>
      </c>
      <c r="C1524">
        <v>17</v>
      </c>
      <c r="D1524">
        <v>380200</v>
      </c>
      <c r="E1524">
        <v>175901</v>
      </c>
      <c r="F1524" t="s">
        <v>115</v>
      </c>
      <c r="G1524" t="s">
        <v>67</v>
      </c>
      <c r="H1524">
        <v>0</v>
      </c>
      <c r="I1524">
        <v>0</v>
      </c>
      <c r="J1524">
        <v>0</v>
      </c>
      <c r="K1524">
        <v>0</v>
      </c>
      <c r="L1524">
        <v>0</v>
      </c>
    </row>
    <row r="1525" spans="1:12" x14ac:dyDescent="0.25">
      <c r="A1525" t="str">
        <f t="shared" si="23"/>
        <v>3802001759012026M06</v>
      </c>
      <c r="B1525">
        <v>51321001</v>
      </c>
      <c r="C1525">
        <v>17</v>
      </c>
      <c r="D1525">
        <v>380200</v>
      </c>
      <c r="E1525">
        <v>175901</v>
      </c>
      <c r="F1525" t="s">
        <v>115</v>
      </c>
      <c r="G1525" t="s">
        <v>68</v>
      </c>
      <c r="H1525">
        <v>0</v>
      </c>
      <c r="I1525">
        <v>0</v>
      </c>
      <c r="J1525">
        <v>0</v>
      </c>
      <c r="K1525">
        <v>0</v>
      </c>
      <c r="L1525">
        <v>0</v>
      </c>
    </row>
    <row r="1526" spans="1:12" x14ac:dyDescent="0.25">
      <c r="A1526" t="str">
        <f t="shared" si="23"/>
        <v>3802001759012026M07</v>
      </c>
      <c r="B1526">
        <v>51321001</v>
      </c>
      <c r="C1526">
        <v>17</v>
      </c>
      <c r="D1526">
        <v>380200</v>
      </c>
      <c r="E1526">
        <v>175901</v>
      </c>
      <c r="F1526" t="s">
        <v>115</v>
      </c>
      <c r="G1526" t="s">
        <v>69</v>
      </c>
      <c r="H1526">
        <v>323399.81</v>
      </c>
      <c r="I1526">
        <v>323399.81</v>
      </c>
      <c r="J1526">
        <v>0</v>
      </c>
      <c r="K1526">
        <v>0</v>
      </c>
      <c r="L1526">
        <v>0</v>
      </c>
    </row>
    <row r="1527" spans="1:12" x14ac:dyDescent="0.25">
      <c r="A1527" t="str">
        <f t="shared" si="23"/>
        <v>3802001759012026M08</v>
      </c>
      <c r="B1527">
        <v>51321001</v>
      </c>
      <c r="C1527">
        <v>17</v>
      </c>
      <c r="D1527">
        <v>380200</v>
      </c>
      <c r="E1527">
        <v>175901</v>
      </c>
      <c r="F1527" t="s">
        <v>115</v>
      </c>
      <c r="G1527" t="s">
        <v>70</v>
      </c>
      <c r="H1527">
        <v>0</v>
      </c>
      <c r="I1527">
        <v>0</v>
      </c>
      <c r="J1527">
        <v>0</v>
      </c>
      <c r="K1527">
        <v>0</v>
      </c>
      <c r="L1527">
        <v>0</v>
      </c>
    </row>
    <row r="1528" spans="1:12" x14ac:dyDescent="0.25">
      <c r="A1528" t="str">
        <f t="shared" si="23"/>
        <v>3802001759012026M09</v>
      </c>
      <c r="B1528">
        <v>51321001</v>
      </c>
      <c r="C1528">
        <v>17</v>
      </c>
      <c r="D1528">
        <v>380200</v>
      </c>
      <c r="E1528">
        <v>175901</v>
      </c>
      <c r="F1528" t="s">
        <v>115</v>
      </c>
      <c r="G1528" t="s">
        <v>71</v>
      </c>
      <c r="H1528">
        <v>104999.95</v>
      </c>
      <c r="I1528">
        <v>104999.95</v>
      </c>
      <c r="J1528">
        <v>0</v>
      </c>
      <c r="K1528">
        <v>0</v>
      </c>
      <c r="L1528">
        <v>0</v>
      </c>
    </row>
    <row r="1529" spans="1:12" x14ac:dyDescent="0.25">
      <c r="A1529" t="str">
        <f t="shared" si="23"/>
        <v>3802001759012026M10</v>
      </c>
      <c r="B1529">
        <v>51321001</v>
      </c>
      <c r="C1529">
        <v>17</v>
      </c>
      <c r="D1529">
        <v>380200</v>
      </c>
      <c r="E1529">
        <v>175901</v>
      </c>
      <c r="F1529" t="s">
        <v>115</v>
      </c>
      <c r="G1529" t="s">
        <v>72</v>
      </c>
      <c r="H1529">
        <v>119700.24</v>
      </c>
      <c r="I1529">
        <v>52499.98</v>
      </c>
      <c r="J1529">
        <v>67200.259999999995</v>
      </c>
      <c r="K1529">
        <v>0</v>
      </c>
      <c r="L1529">
        <v>0</v>
      </c>
    </row>
    <row r="1530" spans="1:12" x14ac:dyDescent="0.25">
      <c r="A1530" t="str">
        <f t="shared" si="23"/>
        <v>3802001759012026M11</v>
      </c>
      <c r="B1530">
        <v>51321001</v>
      </c>
      <c r="C1530">
        <v>17</v>
      </c>
      <c r="D1530">
        <v>380200</v>
      </c>
      <c r="E1530">
        <v>175901</v>
      </c>
      <c r="F1530" t="s">
        <v>115</v>
      </c>
      <c r="G1530" t="s">
        <v>73</v>
      </c>
      <c r="H1530">
        <v>60900</v>
      </c>
      <c r="I1530">
        <v>0</v>
      </c>
      <c r="J1530">
        <v>60900</v>
      </c>
      <c r="K1530">
        <v>0</v>
      </c>
      <c r="L1530">
        <v>0</v>
      </c>
    </row>
    <row r="1531" spans="1:12" x14ac:dyDescent="0.25">
      <c r="A1531" t="str">
        <f t="shared" si="23"/>
        <v>3802001759012026M12</v>
      </c>
      <c r="B1531">
        <v>51321001</v>
      </c>
      <c r="C1531">
        <v>17</v>
      </c>
      <c r="D1531">
        <v>380200</v>
      </c>
      <c r="E1531">
        <v>175901</v>
      </c>
      <c r="F1531" t="s">
        <v>115</v>
      </c>
      <c r="G1531" t="s">
        <v>74</v>
      </c>
      <c r="H1531">
        <v>121800</v>
      </c>
      <c r="I1531">
        <v>0</v>
      </c>
      <c r="J1531">
        <v>121800</v>
      </c>
      <c r="K1531">
        <v>0</v>
      </c>
      <c r="L1531">
        <v>0</v>
      </c>
    </row>
    <row r="1532" spans="1:12" x14ac:dyDescent="0.25">
      <c r="A1532" t="str">
        <f t="shared" si="23"/>
        <v>3802001759042026M02</v>
      </c>
      <c r="B1532">
        <v>51321001</v>
      </c>
      <c r="C1532">
        <v>17</v>
      </c>
      <c r="D1532">
        <v>380200</v>
      </c>
      <c r="E1532">
        <v>175904</v>
      </c>
      <c r="F1532" t="s">
        <v>115</v>
      </c>
      <c r="G1532" t="s">
        <v>64</v>
      </c>
      <c r="H1532">
        <v>0</v>
      </c>
      <c r="I1532">
        <v>0</v>
      </c>
      <c r="J1532">
        <v>0</v>
      </c>
      <c r="K1532">
        <v>0</v>
      </c>
      <c r="L1532">
        <v>0</v>
      </c>
    </row>
    <row r="1533" spans="1:12" x14ac:dyDescent="0.25">
      <c r="A1533" t="str">
        <f t="shared" si="23"/>
        <v>3802001759042026M03</v>
      </c>
      <c r="B1533">
        <v>51321001</v>
      </c>
      <c r="C1533">
        <v>17</v>
      </c>
      <c r="D1533">
        <v>380200</v>
      </c>
      <c r="E1533">
        <v>175904</v>
      </c>
      <c r="F1533" t="s">
        <v>115</v>
      </c>
      <c r="G1533" t="s">
        <v>65</v>
      </c>
      <c r="H1533">
        <v>0</v>
      </c>
      <c r="I1533">
        <v>0</v>
      </c>
      <c r="J1533">
        <v>0</v>
      </c>
      <c r="K1533">
        <v>0</v>
      </c>
      <c r="L1533">
        <v>0</v>
      </c>
    </row>
    <row r="1534" spans="1:12" x14ac:dyDescent="0.25">
      <c r="A1534" t="str">
        <f t="shared" si="23"/>
        <v>3802001759042026M04</v>
      </c>
      <c r="B1534">
        <v>51321001</v>
      </c>
      <c r="C1534">
        <v>17</v>
      </c>
      <c r="D1534">
        <v>380200</v>
      </c>
      <c r="E1534">
        <v>175904</v>
      </c>
      <c r="F1534" t="s">
        <v>115</v>
      </c>
      <c r="G1534" t="s">
        <v>66</v>
      </c>
      <c r="H1534">
        <v>0</v>
      </c>
      <c r="I1534">
        <v>0</v>
      </c>
      <c r="J1534">
        <v>0</v>
      </c>
      <c r="K1534">
        <v>0</v>
      </c>
      <c r="L1534">
        <v>0</v>
      </c>
    </row>
    <row r="1535" spans="1:12" x14ac:dyDescent="0.25">
      <c r="A1535" t="str">
        <f t="shared" si="23"/>
        <v>3802001759042026M05</v>
      </c>
      <c r="B1535">
        <v>51321001</v>
      </c>
      <c r="C1535">
        <v>17</v>
      </c>
      <c r="D1535">
        <v>380200</v>
      </c>
      <c r="E1535">
        <v>175904</v>
      </c>
      <c r="F1535" t="s">
        <v>115</v>
      </c>
      <c r="G1535" t="s">
        <v>67</v>
      </c>
      <c r="H1535">
        <v>0</v>
      </c>
      <c r="I1535">
        <v>0</v>
      </c>
      <c r="J1535">
        <v>0</v>
      </c>
      <c r="K1535">
        <v>0</v>
      </c>
      <c r="L1535">
        <v>0</v>
      </c>
    </row>
    <row r="1536" spans="1:12" x14ac:dyDescent="0.25">
      <c r="A1536" t="str">
        <f t="shared" si="23"/>
        <v>3802001759042026M06</v>
      </c>
      <c r="B1536">
        <v>51321001</v>
      </c>
      <c r="C1536">
        <v>17</v>
      </c>
      <c r="D1536">
        <v>380200</v>
      </c>
      <c r="E1536">
        <v>175904</v>
      </c>
      <c r="F1536" t="s">
        <v>115</v>
      </c>
      <c r="G1536" t="s">
        <v>68</v>
      </c>
      <c r="H1536">
        <v>0</v>
      </c>
      <c r="I1536">
        <v>0</v>
      </c>
      <c r="J1536">
        <v>0</v>
      </c>
      <c r="K1536">
        <v>0</v>
      </c>
      <c r="L1536">
        <v>0</v>
      </c>
    </row>
    <row r="1537" spans="1:12" x14ac:dyDescent="0.25">
      <c r="A1537" t="str">
        <f t="shared" si="23"/>
        <v>3802001759042026M07</v>
      </c>
      <c r="B1537">
        <v>51321001</v>
      </c>
      <c r="C1537">
        <v>17</v>
      </c>
      <c r="D1537">
        <v>380200</v>
      </c>
      <c r="E1537">
        <v>175904</v>
      </c>
      <c r="F1537" t="s">
        <v>115</v>
      </c>
      <c r="G1537" t="s">
        <v>69</v>
      </c>
      <c r="H1537">
        <v>165999.94</v>
      </c>
      <c r="I1537">
        <v>165999.94</v>
      </c>
      <c r="J1537">
        <v>0</v>
      </c>
      <c r="K1537">
        <v>0</v>
      </c>
      <c r="L1537">
        <v>0</v>
      </c>
    </row>
    <row r="1538" spans="1:12" x14ac:dyDescent="0.25">
      <c r="A1538" t="str">
        <f t="shared" si="23"/>
        <v>3802001759042026M08</v>
      </c>
      <c r="B1538">
        <v>51321001</v>
      </c>
      <c r="C1538">
        <v>17</v>
      </c>
      <c r="D1538">
        <v>380200</v>
      </c>
      <c r="E1538">
        <v>175904</v>
      </c>
      <c r="F1538" t="s">
        <v>115</v>
      </c>
      <c r="G1538" t="s">
        <v>70</v>
      </c>
      <c r="H1538">
        <v>24999.99</v>
      </c>
      <c r="I1538">
        <v>24999.99</v>
      </c>
      <c r="J1538">
        <v>0</v>
      </c>
      <c r="K1538">
        <v>0</v>
      </c>
      <c r="L1538">
        <v>0</v>
      </c>
    </row>
    <row r="1539" spans="1:12" x14ac:dyDescent="0.25">
      <c r="A1539" t="str">
        <f t="shared" si="23"/>
        <v>3802001759042026M09</v>
      </c>
      <c r="B1539">
        <v>51321001</v>
      </c>
      <c r="C1539">
        <v>17</v>
      </c>
      <c r="D1539">
        <v>380200</v>
      </c>
      <c r="E1539">
        <v>175904</v>
      </c>
      <c r="F1539" t="s">
        <v>115</v>
      </c>
      <c r="G1539" t="s">
        <v>71</v>
      </c>
      <c r="H1539">
        <v>24999.99</v>
      </c>
      <c r="I1539">
        <v>24999.99</v>
      </c>
      <c r="J1539">
        <v>0</v>
      </c>
      <c r="K1539">
        <v>0</v>
      </c>
      <c r="L1539">
        <v>0</v>
      </c>
    </row>
    <row r="1540" spans="1:12" x14ac:dyDescent="0.25">
      <c r="A1540" t="str">
        <f t="shared" si="23"/>
        <v>3802001759042026M10</v>
      </c>
      <c r="B1540">
        <v>51321001</v>
      </c>
      <c r="C1540">
        <v>17</v>
      </c>
      <c r="D1540">
        <v>380200</v>
      </c>
      <c r="E1540">
        <v>175904</v>
      </c>
      <c r="F1540" t="s">
        <v>115</v>
      </c>
      <c r="G1540" t="s">
        <v>72</v>
      </c>
      <c r="H1540">
        <v>45000.08</v>
      </c>
      <c r="I1540">
        <v>0</v>
      </c>
      <c r="J1540">
        <v>45000.08</v>
      </c>
      <c r="K1540">
        <v>0</v>
      </c>
      <c r="L1540">
        <v>0</v>
      </c>
    </row>
    <row r="1541" spans="1:12" x14ac:dyDescent="0.25">
      <c r="A1541" t="str">
        <f t="shared" si="23"/>
        <v>3802001759042026M11</v>
      </c>
      <c r="B1541">
        <v>51321001</v>
      </c>
      <c r="C1541">
        <v>17</v>
      </c>
      <c r="D1541">
        <v>380200</v>
      </c>
      <c r="E1541">
        <v>175904</v>
      </c>
      <c r="F1541" t="s">
        <v>115</v>
      </c>
      <c r="G1541" t="s">
        <v>73</v>
      </c>
      <c r="H1541">
        <v>29000</v>
      </c>
      <c r="I1541">
        <v>0</v>
      </c>
      <c r="J1541">
        <v>29000</v>
      </c>
      <c r="K1541">
        <v>0</v>
      </c>
      <c r="L1541">
        <v>0</v>
      </c>
    </row>
    <row r="1542" spans="1:12" x14ac:dyDescent="0.25">
      <c r="A1542" t="str">
        <f t="shared" si="23"/>
        <v>3802001759042026M12</v>
      </c>
      <c r="B1542">
        <v>51321001</v>
      </c>
      <c r="C1542">
        <v>17</v>
      </c>
      <c r="D1542">
        <v>380200</v>
      </c>
      <c r="E1542">
        <v>175904</v>
      </c>
      <c r="F1542" t="s">
        <v>115</v>
      </c>
      <c r="G1542" t="s">
        <v>74</v>
      </c>
      <c r="H1542">
        <v>58000</v>
      </c>
      <c r="I1542">
        <v>0</v>
      </c>
      <c r="J1542">
        <v>58000</v>
      </c>
      <c r="K1542">
        <v>0</v>
      </c>
      <c r="L1542">
        <v>0</v>
      </c>
    </row>
    <row r="1543" spans="1:12" x14ac:dyDescent="0.25">
      <c r="A1543" t="str">
        <f t="shared" si="23"/>
        <v>9001101791022026M02</v>
      </c>
      <c r="B1543">
        <v>51321001</v>
      </c>
      <c r="C1543">
        <v>17</v>
      </c>
      <c r="D1543">
        <v>900110</v>
      </c>
      <c r="E1543">
        <v>179102</v>
      </c>
      <c r="F1543" t="s">
        <v>115</v>
      </c>
      <c r="G1543" t="s">
        <v>64</v>
      </c>
      <c r="H1543">
        <v>0</v>
      </c>
      <c r="I1543">
        <v>0</v>
      </c>
      <c r="J1543">
        <v>0</v>
      </c>
      <c r="K1543">
        <v>0</v>
      </c>
      <c r="L1543">
        <v>0</v>
      </c>
    </row>
    <row r="1544" spans="1:12" x14ac:dyDescent="0.25">
      <c r="A1544" t="str">
        <f t="shared" si="23"/>
        <v>9001101791022026M03</v>
      </c>
      <c r="B1544">
        <v>51321001</v>
      </c>
      <c r="C1544">
        <v>17</v>
      </c>
      <c r="D1544">
        <v>900110</v>
      </c>
      <c r="E1544">
        <v>179102</v>
      </c>
      <c r="F1544" t="s">
        <v>115</v>
      </c>
      <c r="G1544" t="s">
        <v>65</v>
      </c>
      <c r="H1544">
        <v>0</v>
      </c>
      <c r="I1544">
        <v>0</v>
      </c>
      <c r="J1544">
        <v>0</v>
      </c>
      <c r="K1544">
        <v>0</v>
      </c>
      <c r="L1544">
        <v>0</v>
      </c>
    </row>
    <row r="1545" spans="1:12" x14ac:dyDescent="0.25">
      <c r="A1545" t="str">
        <f t="shared" si="23"/>
        <v>9001101791022026M04</v>
      </c>
      <c r="B1545">
        <v>51321001</v>
      </c>
      <c r="C1545">
        <v>17</v>
      </c>
      <c r="D1545">
        <v>900110</v>
      </c>
      <c r="E1545">
        <v>179102</v>
      </c>
      <c r="F1545" t="s">
        <v>115</v>
      </c>
      <c r="G1545" t="s">
        <v>66</v>
      </c>
      <c r="H1545">
        <v>0</v>
      </c>
      <c r="I1545">
        <v>0</v>
      </c>
      <c r="J1545">
        <v>0</v>
      </c>
      <c r="K1545">
        <v>0</v>
      </c>
      <c r="L1545">
        <v>0</v>
      </c>
    </row>
    <row r="1546" spans="1:12" x14ac:dyDescent="0.25">
      <c r="A1546" t="str">
        <f t="shared" si="23"/>
        <v>9001101791022026M05</v>
      </c>
      <c r="B1546">
        <v>51321001</v>
      </c>
      <c r="C1546">
        <v>17</v>
      </c>
      <c r="D1546">
        <v>900110</v>
      </c>
      <c r="E1546">
        <v>179102</v>
      </c>
      <c r="F1546" t="s">
        <v>115</v>
      </c>
      <c r="G1546" t="s">
        <v>67</v>
      </c>
      <c r="H1546">
        <v>0</v>
      </c>
      <c r="I1546">
        <v>0</v>
      </c>
      <c r="J1546">
        <v>0</v>
      </c>
      <c r="K1546">
        <v>0</v>
      </c>
      <c r="L1546">
        <v>0</v>
      </c>
    </row>
    <row r="1547" spans="1:12" x14ac:dyDescent="0.25">
      <c r="A1547" t="str">
        <f t="shared" ref="A1547:A1610" si="24">D1547&amp;E1547&amp;G1547</f>
        <v>9001101791022026M06</v>
      </c>
      <c r="B1547">
        <v>51321001</v>
      </c>
      <c r="C1547">
        <v>17</v>
      </c>
      <c r="D1547">
        <v>900110</v>
      </c>
      <c r="E1547">
        <v>179102</v>
      </c>
      <c r="F1547" t="s">
        <v>115</v>
      </c>
      <c r="G1547" t="s">
        <v>68</v>
      </c>
      <c r="H1547">
        <v>0</v>
      </c>
      <c r="I1547">
        <v>0</v>
      </c>
      <c r="J1547">
        <v>0</v>
      </c>
      <c r="K1547">
        <v>0</v>
      </c>
      <c r="L1547">
        <v>0</v>
      </c>
    </row>
    <row r="1548" spans="1:12" x14ac:dyDescent="0.25">
      <c r="A1548" t="str">
        <f t="shared" si="24"/>
        <v>9001101791022026M07</v>
      </c>
      <c r="B1548">
        <v>51321001</v>
      </c>
      <c r="C1548">
        <v>17</v>
      </c>
      <c r="D1548">
        <v>900110</v>
      </c>
      <c r="E1548">
        <v>179102</v>
      </c>
      <c r="F1548" t="s">
        <v>115</v>
      </c>
      <c r="G1548" t="s">
        <v>69</v>
      </c>
      <c r="H1548">
        <v>0</v>
      </c>
      <c r="I1548">
        <v>0</v>
      </c>
      <c r="J1548">
        <v>0</v>
      </c>
      <c r="K1548">
        <v>0</v>
      </c>
      <c r="L1548">
        <v>0</v>
      </c>
    </row>
    <row r="1549" spans="1:12" x14ac:dyDescent="0.25">
      <c r="A1549" t="str">
        <f t="shared" si="24"/>
        <v>9001101791022026M08</v>
      </c>
      <c r="B1549">
        <v>51321001</v>
      </c>
      <c r="C1549">
        <v>17</v>
      </c>
      <c r="D1549">
        <v>900110</v>
      </c>
      <c r="E1549">
        <v>179102</v>
      </c>
      <c r="F1549" t="s">
        <v>115</v>
      </c>
      <c r="G1549" t="s">
        <v>70</v>
      </c>
      <c r="H1549">
        <v>0</v>
      </c>
      <c r="I1549">
        <v>0</v>
      </c>
      <c r="J1549">
        <v>0</v>
      </c>
      <c r="K1549">
        <v>0</v>
      </c>
      <c r="L1549">
        <v>0</v>
      </c>
    </row>
    <row r="1550" spans="1:12" x14ac:dyDescent="0.25">
      <c r="A1550" t="str">
        <f t="shared" si="24"/>
        <v>9001101791022026M09</v>
      </c>
      <c r="B1550">
        <v>51321001</v>
      </c>
      <c r="C1550">
        <v>17</v>
      </c>
      <c r="D1550">
        <v>900110</v>
      </c>
      <c r="E1550">
        <v>179102</v>
      </c>
      <c r="F1550" t="s">
        <v>115</v>
      </c>
      <c r="G1550" t="s">
        <v>71</v>
      </c>
      <c r="H1550">
        <v>0</v>
      </c>
      <c r="I1550">
        <v>0</v>
      </c>
      <c r="J1550">
        <v>0</v>
      </c>
      <c r="K1550">
        <v>0</v>
      </c>
      <c r="L1550">
        <v>0</v>
      </c>
    </row>
    <row r="1551" spans="1:12" x14ac:dyDescent="0.25">
      <c r="A1551" t="str">
        <f t="shared" si="24"/>
        <v>9001101791022026M10</v>
      </c>
      <c r="B1551">
        <v>51321001</v>
      </c>
      <c r="C1551">
        <v>17</v>
      </c>
      <c r="D1551">
        <v>900110</v>
      </c>
      <c r="E1551">
        <v>179102</v>
      </c>
      <c r="F1551" t="s">
        <v>115</v>
      </c>
      <c r="G1551" t="s">
        <v>72</v>
      </c>
      <c r="H1551">
        <v>307827</v>
      </c>
      <c r="I1551">
        <v>0</v>
      </c>
      <c r="J1551">
        <v>307827</v>
      </c>
      <c r="K1551">
        <v>0</v>
      </c>
      <c r="L1551">
        <v>0</v>
      </c>
    </row>
    <row r="1552" spans="1:12" x14ac:dyDescent="0.25">
      <c r="A1552" t="str">
        <f t="shared" si="24"/>
        <v>9001101791022026M11</v>
      </c>
      <c r="B1552">
        <v>51321001</v>
      </c>
      <c r="C1552">
        <v>17</v>
      </c>
      <c r="D1552">
        <v>900110</v>
      </c>
      <c r="E1552">
        <v>179102</v>
      </c>
      <c r="F1552" t="s">
        <v>115</v>
      </c>
      <c r="G1552" t="s">
        <v>73</v>
      </c>
      <c r="H1552">
        <v>34203</v>
      </c>
      <c r="I1552">
        <v>0</v>
      </c>
      <c r="J1552">
        <v>34203</v>
      </c>
      <c r="K1552">
        <v>0</v>
      </c>
      <c r="L1552">
        <v>0</v>
      </c>
    </row>
    <row r="1553" spans="1:12" x14ac:dyDescent="0.25">
      <c r="A1553" t="str">
        <f t="shared" si="24"/>
        <v>9001101791022026M12</v>
      </c>
      <c r="B1553">
        <v>51321001</v>
      </c>
      <c r="C1553">
        <v>17</v>
      </c>
      <c r="D1553">
        <v>900110</v>
      </c>
      <c r="E1553">
        <v>179102</v>
      </c>
      <c r="F1553" t="s">
        <v>115</v>
      </c>
      <c r="G1553" t="s">
        <v>74</v>
      </c>
      <c r="H1553">
        <v>68402.17</v>
      </c>
      <c r="I1553">
        <v>0</v>
      </c>
      <c r="J1553">
        <v>68402.17</v>
      </c>
      <c r="K1553">
        <v>0</v>
      </c>
      <c r="L1553">
        <v>0</v>
      </c>
    </row>
    <row r="1554" spans="1:12" x14ac:dyDescent="0.25">
      <c r="A1554" t="str">
        <f t="shared" si="24"/>
        <v>9001101791032026M02</v>
      </c>
      <c r="B1554">
        <v>51321001</v>
      </c>
      <c r="C1554">
        <v>17</v>
      </c>
      <c r="D1554">
        <v>900110</v>
      </c>
      <c r="E1554">
        <v>179103</v>
      </c>
      <c r="F1554" t="s">
        <v>115</v>
      </c>
      <c r="G1554" t="s">
        <v>64</v>
      </c>
      <c r="H1554">
        <v>0</v>
      </c>
      <c r="I1554">
        <v>0</v>
      </c>
      <c r="J1554">
        <v>0</v>
      </c>
      <c r="K1554">
        <v>0</v>
      </c>
      <c r="L1554">
        <v>0</v>
      </c>
    </row>
    <row r="1555" spans="1:12" x14ac:dyDescent="0.25">
      <c r="A1555" t="str">
        <f t="shared" si="24"/>
        <v>9001101791032026M03</v>
      </c>
      <c r="B1555">
        <v>51321001</v>
      </c>
      <c r="C1555">
        <v>17</v>
      </c>
      <c r="D1555">
        <v>900110</v>
      </c>
      <c r="E1555">
        <v>179103</v>
      </c>
      <c r="F1555" t="s">
        <v>115</v>
      </c>
      <c r="G1555" t="s">
        <v>65</v>
      </c>
      <c r="H1555">
        <v>0</v>
      </c>
      <c r="I1555">
        <v>0</v>
      </c>
      <c r="J1555">
        <v>0</v>
      </c>
      <c r="K1555">
        <v>0</v>
      </c>
      <c r="L1555">
        <v>0</v>
      </c>
    </row>
    <row r="1556" spans="1:12" x14ac:dyDescent="0.25">
      <c r="A1556" t="str">
        <f t="shared" si="24"/>
        <v>9001101791032026M04</v>
      </c>
      <c r="B1556">
        <v>51321001</v>
      </c>
      <c r="C1556">
        <v>17</v>
      </c>
      <c r="D1556">
        <v>900110</v>
      </c>
      <c r="E1556">
        <v>179103</v>
      </c>
      <c r="F1556" t="s">
        <v>115</v>
      </c>
      <c r="G1556" t="s">
        <v>66</v>
      </c>
      <c r="H1556">
        <v>0</v>
      </c>
      <c r="I1556">
        <v>0</v>
      </c>
      <c r="J1556">
        <v>0</v>
      </c>
      <c r="K1556">
        <v>0</v>
      </c>
      <c r="L1556">
        <v>0</v>
      </c>
    </row>
    <row r="1557" spans="1:12" x14ac:dyDescent="0.25">
      <c r="A1557" t="str">
        <f t="shared" si="24"/>
        <v>9001101791032026M05</v>
      </c>
      <c r="B1557">
        <v>51321001</v>
      </c>
      <c r="C1557">
        <v>17</v>
      </c>
      <c r="D1557">
        <v>900110</v>
      </c>
      <c r="E1557">
        <v>179103</v>
      </c>
      <c r="F1557" t="s">
        <v>115</v>
      </c>
      <c r="G1557" t="s">
        <v>67</v>
      </c>
      <c r="H1557">
        <v>0</v>
      </c>
      <c r="I1557">
        <v>0</v>
      </c>
      <c r="J1557">
        <v>0</v>
      </c>
      <c r="K1557">
        <v>0</v>
      </c>
      <c r="L1557">
        <v>0</v>
      </c>
    </row>
    <row r="1558" spans="1:12" x14ac:dyDescent="0.25">
      <c r="A1558" t="str">
        <f t="shared" si="24"/>
        <v>9001101791032026M06</v>
      </c>
      <c r="B1558">
        <v>51321001</v>
      </c>
      <c r="C1558">
        <v>17</v>
      </c>
      <c r="D1558">
        <v>900110</v>
      </c>
      <c r="E1558">
        <v>179103</v>
      </c>
      <c r="F1558" t="s">
        <v>115</v>
      </c>
      <c r="G1558" t="s">
        <v>68</v>
      </c>
      <c r="H1558">
        <v>0</v>
      </c>
      <c r="I1558">
        <v>0</v>
      </c>
      <c r="J1558">
        <v>0</v>
      </c>
      <c r="K1558">
        <v>0</v>
      </c>
      <c r="L1558">
        <v>0</v>
      </c>
    </row>
    <row r="1559" spans="1:12" x14ac:dyDescent="0.25">
      <c r="A1559" t="str">
        <f t="shared" si="24"/>
        <v>9001101791032026M07</v>
      </c>
      <c r="B1559">
        <v>51321001</v>
      </c>
      <c r="C1559">
        <v>17</v>
      </c>
      <c r="D1559">
        <v>900110</v>
      </c>
      <c r="E1559">
        <v>179103</v>
      </c>
      <c r="F1559" t="s">
        <v>115</v>
      </c>
      <c r="G1559" t="s">
        <v>69</v>
      </c>
      <c r="H1559">
        <v>347999.82</v>
      </c>
      <c r="I1559">
        <v>347999.82</v>
      </c>
      <c r="J1559">
        <v>0</v>
      </c>
      <c r="K1559">
        <v>0</v>
      </c>
      <c r="L1559">
        <v>0</v>
      </c>
    </row>
    <row r="1560" spans="1:12" x14ac:dyDescent="0.25">
      <c r="A1560" t="str">
        <f t="shared" si="24"/>
        <v>9001101791032026M08</v>
      </c>
      <c r="B1560">
        <v>51321001</v>
      </c>
      <c r="C1560">
        <v>17</v>
      </c>
      <c r="D1560">
        <v>900110</v>
      </c>
      <c r="E1560">
        <v>179103</v>
      </c>
      <c r="F1560" t="s">
        <v>115</v>
      </c>
      <c r="G1560" t="s">
        <v>70</v>
      </c>
      <c r="H1560">
        <v>57999.97</v>
      </c>
      <c r="I1560">
        <v>57999.97</v>
      </c>
      <c r="J1560">
        <v>0</v>
      </c>
      <c r="K1560">
        <v>0</v>
      </c>
      <c r="L1560">
        <v>0</v>
      </c>
    </row>
    <row r="1561" spans="1:12" x14ac:dyDescent="0.25">
      <c r="A1561" t="str">
        <f t="shared" si="24"/>
        <v>9001101791032026M09</v>
      </c>
      <c r="B1561">
        <v>51321001</v>
      </c>
      <c r="C1561">
        <v>17</v>
      </c>
      <c r="D1561">
        <v>900110</v>
      </c>
      <c r="E1561">
        <v>179103</v>
      </c>
      <c r="F1561" t="s">
        <v>115</v>
      </c>
      <c r="G1561" t="s">
        <v>71</v>
      </c>
      <c r="H1561">
        <v>57999.97</v>
      </c>
      <c r="I1561">
        <v>57999.97</v>
      </c>
      <c r="J1561">
        <v>0</v>
      </c>
      <c r="K1561">
        <v>0</v>
      </c>
      <c r="L1561">
        <v>0</v>
      </c>
    </row>
    <row r="1562" spans="1:12" x14ac:dyDescent="0.25">
      <c r="A1562" t="str">
        <f t="shared" si="24"/>
        <v>9001101791032026M10</v>
      </c>
      <c r="B1562">
        <v>51321001</v>
      </c>
      <c r="C1562">
        <v>17</v>
      </c>
      <c r="D1562">
        <v>900110</v>
      </c>
      <c r="E1562">
        <v>179103</v>
      </c>
      <c r="F1562" t="s">
        <v>115</v>
      </c>
      <c r="G1562" t="s">
        <v>72</v>
      </c>
      <c r="H1562">
        <v>58000.24</v>
      </c>
      <c r="I1562">
        <v>0</v>
      </c>
      <c r="J1562">
        <v>58000.24</v>
      </c>
      <c r="K1562">
        <v>0</v>
      </c>
      <c r="L1562">
        <v>0</v>
      </c>
    </row>
    <row r="1563" spans="1:12" x14ac:dyDescent="0.25">
      <c r="A1563" t="str">
        <f t="shared" si="24"/>
        <v>9001101791032026M11</v>
      </c>
      <c r="B1563">
        <v>51321001</v>
      </c>
      <c r="C1563">
        <v>17</v>
      </c>
      <c r="D1563">
        <v>900110</v>
      </c>
      <c r="E1563">
        <v>179103</v>
      </c>
      <c r="F1563" t="s">
        <v>115</v>
      </c>
      <c r="G1563" t="s">
        <v>73</v>
      </c>
      <c r="H1563">
        <v>58000</v>
      </c>
      <c r="I1563">
        <v>0</v>
      </c>
      <c r="J1563">
        <v>58000</v>
      </c>
      <c r="K1563">
        <v>0</v>
      </c>
      <c r="L1563">
        <v>0</v>
      </c>
    </row>
    <row r="1564" spans="1:12" x14ac:dyDescent="0.25">
      <c r="A1564" t="str">
        <f t="shared" si="24"/>
        <v>9001101791032026M12</v>
      </c>
      <c r="B1564">
        <v>51321001</v>
      </c>
      <c r="C1564">
        <v>17</v>
      </c>
      <c r="D1564">
        <v>900110</v>
      </c>
      <c r="E1564">
        <v>179103</v>
      </c>
      <c r="F1564" t="s">
        <v>115</v>
      </c>
      <c r="G1564" t="s">
        <v>74</v>
      </c>
      <c r="H1564">
        <v>116000</v>
      </c>
      <c r="I1564">
        <v>0</v>
      </c>
      <c r="J1564">
        <v>116000</v>
      </c>
      <c r="K1564">
        <v>0</v>
      </c>
      <c r="L1564">
        <v>0</v>
      </c>
    </row>
    <row r="1565" spans="1:12" x14ac:dyDescent="0.25">
      <c r="A1565" t="str">
        <f t="shared" si="24"/>
        <v>9001101791042026M02</v>
      </c>
      <c r="B1565">
        <v>51321001</v>
      </c>
      <c r="C1565">
        <v>17</v>
      </c>
      <c r="D1565">
        <v>900110</v>
      </c>
      <c r="E1565">
        <v>179104</v>
      </c>
      <c r="F1565" t="s">
        <v>115</v>
      </c>
      <c r="G1565" t="s">
        <v>64</v>
      </c>
      <c r="H1565">
        <v>0</v>
      </c>
      <c r="I1565">
        <v>0</v>
      </c>
      <c r="J1565">
        <v>0</v>
      </c>
      <c r="K1565">
        <v>0</v>
      </c>
      <c r="L1565">
        <v>0</v>
      </c>
    </row>
    <row r="1566" spans="1:12" x14ac:dyDescent="0.25">
      <c r="A1566" t="str">
        <f t="shared" si="24"/>
        <v>9001101791042026M03</v>
      </c>
      <c r="B1566">
        <v>51321001</v>
      </c>
      <c r="C1566">
        <v>17</v>
      </c>
      <c r="D1566">
        <v>900110</v>
      </c>
      <c r="E1566">
        <v>179104</v>
      </c>
      <c r="F1566" t="s">
        <v>115</v>
      </c>
      <c r="G1566" t="s">
        <v>65</v>
      </c>
      <c r="H1566">
        <v>0</v>
      </c>
      <c r="I1566">
        <v>0</v>
      </c>
      <c r="J1566">
        <v>0</v>
      </c>
      <c r="K1566">
        <v>0</v>
      </c>
      <c r="L1566">
        <v>0</v>
      </c>
    </row>
    <row r="1567" spans="1:12" x14ac:dyDescent="0.25">
      <c r="A1567" t="str">
        <f t="shared" si="24"/>
        <v>9001101791042026M04</v>
      </c>
      <c r="B1567">
        <v>51321001</v>
      </c>
      <c r="C1567">
        <v>17</v>
      </c>
      <c r="D1567">
        <v>900110</v>
      </c>
      <c r="E1567">
        <v>179104</v>
      </c>
      <c r="F1567" t="s">
        <v>115</v>
      </c>
      <c r="G1567" t="s">
        <v>66</v>
      </c>
      <c r="H1567">
        <v>0</v>
      </c>
      <c r="I1567">
        <v>0</v>
      </c>
      <c r="J1567">
        <v>0</v>
      </c>
      <c r="K1567">
        <v>0</v>
      </c>
      <c r="L1567">
        <v>0</v>
      </c>
    </row>
    <row r="1568" spans="1:12" x14ac:dyDescent="0.25">
      <c r="A1568" t="str">
        <f t="shared" si="24"/>
        <v>9001101791042026M05</v>
      </c>
      <c r="B1568">
        <v>51321001</v>
      </c>
      <c r="C1568">
        <v>17</v>
      </c>
      <c r="D1568">
        <v>900110</v>
      </c>
      <c r="E1568">
        <v>179104</v>
      </c>
      <c r="F1568" t="s">
        <v>115</v>
      </c>
      <c r="G1568" t="s">
        <v>67</v>
      </c>
      <c r="H1568">
        <v>0</v>
      </c>
      <c r="I1568">
        <v>0</v>
      </c>
      <c r="J1568">
        <v>0</v>
      </c>
      <c r="K1568">
        <v>0</v>
      </c>
      <c r="L1568">
        <v>0</v>
      </c>
    </row>
    <row r="1569" spans="1:12" x14ac:dyDescent="0.25">
      <c r="A1569" t="str">
        <f t="shared" si="24"/>
        <v>9001101791042026M06</v>
      </c>
      <c r="B1569">
        <v>51321001</v>
      </c>
      <c r="C1569">
        <v>17</v>
      </c>
      <c r="D1569">
        <v>900110</v>
      </c>
      <c r="E1569">
        <v>179104</v>
      </c>
      <c r="F1569" t="s">
        <v>115</v>
      </c>
      <c r="G1569" t="s">
        <v>68</v>
      </c>
      <c r="H1569">
        <v>0</v>
      </c>
      <c r="I1569">
        <v>0</v>
      </c>
      <c r="J1569">
        <v>0</v>
      </c>
      <c r="K1569">
        <v>0</v>
      </c>
      <c r="L1569">
        <v>0</v>
      </c>
    </row>
    <row r="1570" spans="1:12" x14ac:dyDescent="0.25">
      <c r="A1570" t="str">
        <f t="shared" si="24"/>
        <v>9001101791042026M07</v>
      </c>
      <c r="B1570">
        <v>51321001</v>
      </c>
      <c r="C1570">
        <v>17</v>
      </c>
      <c r="D1570">
        <v>900110</v>
      </c>
      <c r="E1570">
        <v>179104</v>
      </c>
      <c r="F1570" t="s">
        <v>115</v>
      </c>
      <c r="G1570" t="s">
        <v>69</v>
      </c>
      <c r="H1570">
        <v>615599.69999999995</v>
      </c>
      <c r="I1570">
        <v>615599.69999999995</v>
      </c>
      <c r="J1570">
        <v>0</v>
      </c>
      <c r="K1570">
        <v>0</v>
      </c>
      <c r="L1570">
        <v>0</v>
      </c>
    </row>
    <row r="1571" spans="1:12" x14ac:dyDescent="0.25">
      <c r="A1571" t="str">
        <f t="shared" si="24"/>
        <v>9001101791042026M08</v>
      </c>
      <c r="B1571">
        <v>51321001</v>
      </c>
      <c r="C1571">
        <v>17</v>
      </c>
      <c r="D1571">
        <v>900110</v>
      </c>
      <c r="E1571">
        <v>179104</v>
      </c>
      <c r="F1571" t="s">
        <v>115</v>
      </c>
      <c r="G1571" t="s">
        <v>70</v>
      </c>
      <c r="H1571">
        <v>110199.94</v>
      </c>
      <c r="I1571">
        <v>110199.94</v>
      </c>
      <c r="J1571">
        <v>0</v>
      </c>
      <c r="K1571">
        <v>0</v>
      </c>
      <c r="L1571">
        <v>0</v>
      </c>
    </row>
    <row r="1572" spans="1:12" x14ac:dyDescent="0.25">
      <c r="A1572" t="str">
        <f t="shared" si="24"/>
        <v>9001101791042026M09</v>
      </c>
      <c r="B1572">
        <v>51321001</v>
      </c>
      <c r="C1572">
        <v>17</v>
      </c>
      <c r="D1572">
        <v>900110</v>
      </c>
      <c r="E1572">
        <v>179104</v>
      </c>
      <c r="F1572" t="s">
        <v>115</v>
      </c>
      <c r="G1572" t="s">
        <v>71</v>
      </c>
      <c r="H1572">
        <v>110199.94</v>
      </c>
      <c r="I1572">
        <v>110199.94</v>
      </c>
      <c r="J1572">
        <v>0</v>
      </c>
      <c r="K1572">
        <v>0</v>
      </c>
      <c r="L1572">
        <v>0</v>
      </c>
    </row>
    <row r="1573" spans="1:12" x14ac:dyDescent="0.25">
      <c r="A1573" t="str">
        <f t="shared" si="24"/>
        <v>9001101791042026M10</v>
      </c>
      <c r="B1573">
        <v>51321001</v>
      </c>
      <c r="C1573">
        <v>17</v>
      </c>
      <c r="D1573">
        <v>900110</v>
      </c>
      <c r="E1573">
        <v>179104</v>
      </c>
      <c r="F1573" t="s">
        <v>115</v>
      </c>
      <c r="G1573" t="s">
        <v>72</v>
      </c>
      <c r="H1573">
        <v>155800.42000000001</v>
      </c>
      <c r="I1573">
        <v>0</v>
      </c>
      <c r="J1573">
        <v>155800.42000000001</v>
      </c>
      <c r="K1573">
        <v>0</v>
      </c>
      <c r="L1573">
        <v>0</v>
      </c>
    </row>
    <row r="1574" spans="1:12" x14ac:dyDescent="0.25">
      <c r="A1574" t="str">
        <f t="shared" si="24"/>
        <v>9001101791042026M11</v>
      </c>
      <c r="B1574">
        <v>51321001</v>
      </c>
      <c r="C1574">
        <v>17</v>
      </c>
      <c r="D1574">
        <v>900110</v>
      </c>
      <c r="E1574">
        <v>179104</v>
      </c>
      <c r="F1574" t="s">
        <v>115</v>
      </c>
      <c r="G1574" t="s">
        <v>73</v>
      </c>
      <c r="H1574">
        <v>110200</v>
      </c>
      <c r="I1574">
        <v>0</v>
      </c>
      <c r="J1574">
        <v>110200</v>
      </c>
      <c r="K1574">
        <v>0</v>
      </c>
      <c r="L1574">
        <v>0</v>
      </c>
    </row>
    <row r="1575" spans="1:12" x14ac:dyDescent="0.25">
      <c r="A1575" t="str">
        <f t="shared" si="24"/>
        <v>9001101791042026M12</v>
      </c>
      <c r="B1575">
        <v>51321001</v>
      </c>
      <c r="C1575">
        <v>17</v>
      </c>
      <c r="D1575">
        <v>900110</v>
      </c>
      <c r="E1575">
        <v>179104</v>
      </c>
      <c r="F1575" t="s">
        <v>115</v>
      </c>
      <c r="G1575" t="s">
        <v>74</v>
      </c>
      <c r="H1575">
        <v>220400</v>
      </c>
      <c r="I1575">
        <v>0</v>
      </c>
      <c r="J1575">
        <v>220400</v>
      </c>
      <c r="K1575">
        <v>0</v>
      </c>
      <c r="L1575">
        <v>0</v>
      </c>
    </row>
    <row r="1576" spans="1:12" x14ac:dyDescent="0.25">
      <c r="A1576" t="str">
        <f t="shared" si="24"/>
        <v>2002001824192026M02</v>
      </c>
      <c r="B1576">
        <v>51321001</v>
      </c>
      <c r="C1576">
        <v>18</v>
      </c>
      <c r="D1576">
        <v>200200</v>
      </c>
      <c r="E1576">
        <v>182419</v>
      </c>
      <c r="F1576" t="s">
        <v>115</v>
      </c>
      <c r="G1576" t="s">
        <v>64</v>
      </c>
      <c r="H1576">
        <v>0</v>
      </c>
      <c r="I1576">
        <v>0</v>
      </c>
      <c r="J1576">
        <v>0</v>
      </c>
      <c r="K1576">
        <v>0</v>
      </c>
      <c r="L1576">
        <v>0</v>
      </c>
    </row>
    <row r="1577" spans="1:12" x14ac:dyDescent="0.25">
      <c r="A1577" t="str">
        <f t="shared" si="24"/>
        <v>2002001824192026M03</v>
      </c>
      <c r="B1577">
        <v>51321001</v>
      </c>
      <c r="C1577">
        <v>18</v>
      </c>
      <c r="D1577">
        <v>200200</v>
      </c>
      <c r="E1577">
        <v>182419</v>
      </c>
      <c r="F1577" t="s">
        <v>115</v>
      </c>
      <c r="G1577" t="s">
        <v>65</v>
      </c>
      <c r="H1577">
        <v>0</v>
      </c>
      <c r="I1577">
        <v>0</v>
      </c>
      <c r="J1577">
        <v>0</v>
      </c>
      <c r="K1577">
        <v>0</v>
      </c>
      <c r="L1577">
        <v>0</v>
      </c>
    </row>
    <row r="1578" spans="1:12" x14ac:dyDescent="0.25">
      <c r="A1578" t="str">
        <f t="shared" si="24"/>
        <v>2002001824192026M04</v>
      </c>
      <c r="B1578">
        <v>51321001</v>
      </c>
      <c r="C1578">
        <v>18</v>
      </c>
      <c r="D1578">
        <v>200200</v>
      </c>
      <c r="E1578">
        <v>182419</v>
      </c>
      <c r="F1578" t="s">
        <v>115</v>
      </c>
      <c r="G1578" t="s">
        <v>66</v>
      </c>
      <c r="H1578">
        <v>29987.64</v>
      </c>
      <c r="I1578">
        <v>29987.64</v>
      </c>
      <c r="J1578">
        <v>0</v>
      </c>
      <c r="K1578">
        <v>0</v>
      </c>
      <c r="L1578">
        <v>0</v>
      </c>
    </row>
    <row r="1579" spans="1:12" x14ac:dyDescent="0.25">
      <c r="A1579" t="str">
        <f t="shared" si="24"/>
        <v>2002001824192026M05</v>
      </c>
      <c r="B1579">
        <v>51321001</v>
      </c>
      <c r="C1579">
        <v>18</v>
      </c>
      <c r="D1579">
        <v>200200</v>
      </c>
      <c r="E1579">
        <v>182419</v>
      </c>
      <c r="F1579" t="s">
        <v>115</v>
      </c>
      <c r="G1579" t="s">
        <v>67</v>
      </c>
      <c r="H1579">
        <v>0</v>
      </c>
      <c r="I1579">
        <v>0</v>
      </c>
      <c r="J1579">
        <v>0</v>
      </c>
      <c r="K1579">
        <v>0</v>
      </c>
      <c r="L1579">
        <v>0</v>
      </c>
    </row>
    <row r="1580" spans="1:12" x14ac:dyDescent="0.25">
      <c r="A1580" t="str">
        <f t="shared" si="24"/>
        <v>2002001824192026M06</v>
      </c>
      <c r="B1580">
        <v>51321001</v>
      </c>
      <c r="C1580">
        <v>18</v>
      </c>
      <c r="D1580">
        <v>200200</v>
      </c>
      <c r="E1580">
        <v>182419</v>
      </c>
      <c r="F1580" t="s">
        <v>115</v>
      </c>
      <c r="G1580" t="s">
        <v>68</v>
      </c>
      <c r="H1580">
        <v>19991.759999999998</v>
      </c>
      <c r="I1580">
        <v>19991.759999999998</v>
      </c>
      <c r="J1580">
        <v>0</v>
      </c>
      <c r="K1580">
        <v>0</v>
      </c>
      <c r="L1580">
        <v>0</v>
      </c>
    </row>
    <row r="1581" spans="1:12" x14ac:dyDescent="0.25">
      <c r="A1581" t="str">
        <f t="shared" si="24"/>
        <v>2002001824192026M07</v>
      </c>
      <c r="B1581">
        <v>51321001</v>
      </c>
      <c r="C1581">
        <v>18</v>
      </c>
      <c r="D1581">
        <v>200200</v>
      </c>
      <c r="E1581">
        <v>182419</v>
      </c>
      <c r="F1581" t="s">
        <v>115</v>
      </c>
      <c r="G1581" t="s">
        <v>69</v>
      </c>
      <c r="H1581">
        <v>0</v>
      </c>
      <c r="I1581">
        <v>0</v>
      </c>
      <c r="J1581">
        <v>0</v>
      </c>
      <c r="K1581">
        <v>0</v>
      </c>
      <c r="L1581">
        <v>0</v>
      </c>
    </row>
    <row r="1582" spans="1:12" x14ac:dyDescent="0.25">
      <c r="A1582" t="str">
        <f t="shared" si="24"/>
        <v>2002001824192026M08</v>
      </c>
      <c r="B1582">
        <v>51321001</v>
      </c>
      <c r="C1582">
        <v>18</v>
      </c>
      <c r="D1582">
        <v>200200</v>
      </c>
      <c r="E1582">
        <v>182419</v>
      </c>
      <c r="F1582" t="s">
        <v>115</v>
      </c>
      <c r="G1582" t="s">
        <v>70</v>
      </c>
      <c r="H1582">
        <v>0</v>
      </c>
      <c r="I1582">
        <v>0</v>
      </c>
      <c r="J1582">
        <v>0</v>
      </c>
      <c r="K1582">
        <v>0</v>
      </c>
      <c r="L1582">
        <v>0</v>
      </c>
    </row>
    <row r="1583" spans="1:12" x14ac:dyDescent="0.25">
      <c r="A1583" t="str">
        <f t="shared" si="24"/>
        <v>2002001824192026M09</v>
      </c>
      <c r="B1583">
        <v>51321001</v>
      </c>
      <c r="C1583">
        <v>18</v>
      </c>
      <c r="D1583">
        <v>200200</v>
      </c>
      <c r="E1583">
        <v>182419</v>
      </c>
      <c r="F1583" t="s">
        <v>115</v>
      </c>
      <c r="G1583" t="s">
        <v>71</v>
      </c>
      <c r="H1583">
        <v>29987.64</v>
      </c>
      <c r="I1583">
        <v>29987.64</v>
      </c>
      <c r="J1583">
        <v>0</v>
      </c>
      <c r="K1583">
        <v>0</v>
      </c>
      <c r="L1583">
        <v>0</v>
      </c>
    </row>
    <row r="1584" spans="1:12" x14ac:dyDescent="0.25">
      <c r="A1584" t="str">
        <f t="shared" si="24"/>
        <v>2002001824192026M10</v>
      </c>
      <c r="B1584">
        <v>51321001</v>
      </c>
      <c r="C1584">
        <v>18</v>
      </c>
      <c r="D1584">
        <v>200200</v>
      </c>
      <c r="E1584">
        <v>182419</v>
      </c>
      <c r="F1584" t="s">
        <v>115</v>
      </c>
      <c r="G1584" t="s">
        <v>72</v>
      </c>
      <c r="H1584">
        <v>9996.9599999999991</v>
      </c>
      <c r="I1584">
        <v>0</v>
      </c>
      <c r="J1584">
        <v>9996.9599999999991</v>
      </c>
      <c r="K1584">
        <v>0</v>
      </c>
      <c r="L1584">
        <v>0</v>
      </c>
    </row>
    <row r="1585" spans="1:12" x14ac:dyDescent="0.25">
      <c r="A1585" t="str">
        <f t="shared" si="24"/>
        <v>2002001824192026M11</v>
      </c>
      <c r="B1585">
        <v>51321001</v>
      </c>
      <c r="C1585">
        <v>18</v>
      </c>
      <c r="D1585">
        <v>200200</v>
      </c>
      <c r="E1585">
        <v>182419</v>
      </c>
      <c r="F1585" t="s">
        <v>115</v>
      </c>
      <c r="G1585" t="s">
        <v>73</v>
      </c>
      <c r="H1585">
        <v>9996</v>
      </c>
      <c r="I1585">
        <v>0</v>
      </c>
      <c r="J1585">
        <v>9996</v>
      </c>
      <c r="K1585">
        <v>0</v>
      </c>
      <c r="L1585">
        <v>0</v>
      </c>
    </row>
    <row r="1586" spans="1:12" x14ac:dyDescent="0.25">
      <c r="A1586" t="str">
        <f t="shared" si="24"/>
        <v>2002001824192026M12</v>
      </c>
      <c r="B1586">
        <v>51321001</v>
      </c>
      <c r="C1586">
        <v>18</v>
      </c>
      <c r="D1586">
        <v>200200</v>
      </c>
      <c r="E1586">
        <v>182419</v>
      </c>
      <c r="F1586" t="s">
        <v>115</v>
      </c>
      <c r="G1586" t="s">
        <v>74</v>
      </c>
      <c r="H1586">
        <v>19990.560000000001</v>
      </c>
      <c r="I1586">
        <v>0</v>
      </c>
      <c r="J1586">
        <v>19990.560000000001</v>
      </c>
      <c r="K1586">
        <v>0</v>
      </c>
      <c r="L1586">
        <v>0</v>
      </c>
    </row>
    <row r="1587" spans="1:12" x14ac:dyDescent="0.25">
      <c r="A1587" t="str">
        <f t="shared" si="24"/>
        <v>2002001824212026M02</v>
      </c>
      <c r="B1587">
        <v>51321001</v>
      </c>
      <c r="C1587">
        <v>18</v>
      </c>
      <c r="D1587">
        <v>200200</v>
      </c>
      <c r="E1587">
        <v>182421</v>
      </c>
      <c r="F1587" t="s">
        <v>115</v>
      </c>
      <c r="G1587" t="s">
        <v>64</v>
      </c>
      <c r="H1587">
        <v>0</v>
      </c>
      <c r="I1587">
        <v>0</v>
      </c>
      <c r="J1587">
        <v>0</v>
      </c>
      <c r="K1587">
        <v>0</v>
      </c>
      <c r="L1587">
        <v>0</v>
      </c>
    </row>
    <row r="1588" spans="1:12" x14ac:dyDescent="0.25">
      <c r="A1588" t="str">
        <f t="shared" si="24"/>
        <v>2002001824212026M03</v>
      </c>
      <c r="B1588">
        <v>51321001</v>
      </c>
      <c r="C1588">
        <v>18</v>
      </c>
      <c r="D1588">
        <v>200200</v>
      </c>
      <c r="E1588">
        <v>182421</v>
      </c>
      <c r="F1588" t="s">
        <v>115</v>
      </c>
      <c r="G1588" t="s">
        <v>65</v>
      </c>
      <c r="H1588">
        <v>0</v>
      </c>
      <c r="I1588">
        <v>0</v>
      </c>
      <c r="J1588">
        <v>0</v>
      </c>
      <c r="K1588">
        <v>0</v>
      </c>
      <c r="L1588">
        <v>0</v>
      </c>
    </row>
    <row r="1589" spans="1:12" x14ac:dyDescent="0.25">
      <c r="A1589" t="str">
        <f t="shared" si="24"/>
        <v>2002001824212026M04</v>
      </c>
      <c r="B1589">
        <v>51321001</v>
      </c>
      <c r="C1589">
        <v>18</v>
      </c>
      <c r="D1589">
        <v>200200</v>
      </c>
      <c r="E1589">
        <v>182421</v>
      </c>
      <c r="F1589" t="s">
        <v>115</v>
      </c>
      <c r="G1589" t="s">
        <v>66</v>
      </c>
      <c r="H1589">
        <v>29580</v>
      </c>
      <c r="I1589">
        <v>29580</v>
      </c>
      <c r="J1589">
        <v>0</v>
      </c>
      <c r="K1589">
        <v>0</v>
      </c>
      <c r="L1589">
        <v>0</v>
      </c>
    </row>
    <row r="1590" spans="1:12" x14ac:dyDescent="0.25">
      <c r="A1590" t="str">
        <f t="shared" si="24"/>
        <v>2002001824212026M05</v>
      </c>
      <c r="B1590">
        <v>51321001</v>
      </c>
      <c r="C1590">
        <v>18</v>
      </c>
      <c r="D1590">
        <v>200200</v>
      </c>
      <c r="E1590">
        <v>182421</v>
      </c>
      <c r="F1590" t="s">
        <v>115</v>
      </c>
      <c r="G1590" t="s">
        <v>67</v>
      </c>
      <c r="H1590">
        <v>9860</v>
      </c>
      <c r="I1590">
        <v>9860</v>
      </c>
      <c r="J1590">
        <v>0</v>
      </c>
      <c r="K1590">
        <v>0</v>
      </c>
      <c r="L1590">
        <v>0</v>
      </c>
    </row>
    <row r="1591" spans="1:12" x14ac:dyDescent="0.25">
      <c r="A1591" t="str">
        <f t="shared" si="24"/>
        <v>2002001824212026M06</v>
      </c>
      <c r="B1591">
        <v>51321001</v>
      </c>
      <c r="C1591">
        <v>18</v>
      </c>
      <c r="D1591">
        <v>200200</v>
      </c>
      <c r="E1591">
        <v>182421</v>
      </c>
      <c r="F1591" t="s">
        <v>115</v>
      </c>
      <c r="G1591" t="s">
        <v>68</v>
      </c>
      <c r="H1591">
        <v>9860</v>
      </c>
      <c r="I1591">
        <v>9860</v>
      </c>
      <c r="J1591">
        <v>0</v>
      </c>
      <c r="K1591">
        <v>0</v>
      </c>
      <c r="L1591">
        <v>0</v>
      </c>
    </row>
    <row r="1592" spans="1:12" x14ac:dyDescent="0.25">
      <c r="A1592" t="str">
        <f t="shared" si="24"/>
        <v>2002001824212026M07</v>
      </c>
      <c r="B1592">
        <v>51321001</v>
      </c>
      <c r="C1592">
        <v>18</v>
      </c>
      <c r="D1592">
        <v>200200</v>
      </c>
      <c r="E1592">
        <v>182421</v>
      </c>
      <c r="F1592" t="s">
        <v>115</v>
      </c>
      <c r="G1592" t="s">
        <v>69</v>
      </c>
      <c r="H1592">
        <v>9860</v>
      </c>
      <c r="I1592">
        <v>9860</v>
      </c>
      <c r="J1592">
        <v>0</v>
      </c>
      <c r="K1592">
        <v>0</v>
      </c>
      <c r="L1592">
        <v>0</v>
      </c>
    </row>
    <row r="1593" spans="1:12" x14ac:dyDescent="0.25">
      <c r="A1593" t="str">
        <f t="shared" si="24"/>
        <v>2002001824212026M08</v>
      </c>
      <c r="B1593">
        <v>51321001</v>
      </c>
      <c r="C1593">
        <v>18</v>
      </c>
      <c r="D1593">
        <v>200200</v>
      </c>
      <c r="E1593">
        <v>182421</v>
      </c>
      <c r="F1593" t="s">
        <v>115</v>
      </c>
      <c r="G1593" t="s">
        <v>70</v>
      </c>
      <c r="H1593">
        <v>9860</v>
      </c>
      <c r="I1593">
        <v>9860</v>
      </c>
      <c r="J1593">
        <v>0</v>
      </c>
      <c r="K1593">
        <v>0</v>
      </c>
      <c r="L1593">
        <v>0</v>
      </c>
    </row>
    <row r="1594" spans="1:12" x14ac:dyDescent="0.25">
      <c r="A1594" t="str">
        <f t="shared" si="24"/>
        <v>2002001824212026M09</v>
      </c>
      <c r="B1594">
        <v>51321001</v>
      </c>
      <c r="C1594">
        <v>18</v>
      </c>
      <c r="D1594">
        <v>200200</v>
      </c>
      <c r="E1594">
        <v>182421</v>
      </c>
      <c r="F1594" t="s">
        <v>115</v>
      </c>
      <c r="G1594" t="s">
        <v>71</v>
      </c>
      <c r="H1594">
        <v>9717.9</v>
      </c>
      <c r="I1594">
        <v>9717.9</v>
      </c>
      <c r="J1594">
        <v>0</v>
      </c>
      <c r="K1594">
        <v>0</v>
      </c>
      <c r="L1594">
        <v>0</v>
      </c>
    </row>
    <row r="1595" spans="1:12" x14ac:dyDescent="0.25">
      <c r="A1595" t="str">
        <f t="shared" si="24"/>
        <v>2002001824212026M10</v>
      </c>
      <c r="B1595">
        <v>51321001</v>
      </c>
      <c r="C1595">
        <v>18</v>
      </c>
      <c r="D1595">
        <v>200200</v>
      </c>
      <c r="E1595">
        <v>182421</v>
      </c>
      <c r="F1595" t="s">
        <v>115</v>
      </c>
      <c r="G1595" t="s">
        <v>72</v>
      </c>
      <c r="H1595">
        <v>10002.1</v>
      </c>
      <c r="I1595">
        <v>0</v>
      </c>
      <c r="J1595">
        <v>10002.1</v>
      </c>
      <c r="K1595">
        <v>0</v>
      </c>
      <c r="L1595">
        <v>0</v>
      </c>
    </row>
    <row r="1596" spans="1:12" x14ac:dyDescent="0.25">
      <c r="A1596" t="str">
        <f t="shared" si="24"/>
        <v>2002001824212026M11</v>
      </c>
      <c r="B1596">
        <v>51321001</v>
      </c>
      <c r="C1596">
        <v>18</v>
      </c>
      <c r="D1596">
        <v>200200</v>
      </c>
      <c r="E1596">
        <v>182421</v>
      </c>
      <c r="F1596" t="s">
        <v>115</v>
      </c>
      <c r="G1596" t="s">
        <v>73</v>
      </c>
      <c r="H1596">
        <v>9860</v>
      </c>
      <c r="I1596">
        <v>0</v>
      </c>
      <c r="J1596">
        <v>9860</v>
      </c>
      <c r="K1596">
        <v>0</v>
      </c>
      <c r="L1596">
        <v>0</v>
      </c>
    </row>
    <row r="1597" spans="1:12" x14ac:dyDescent="0.25">
      <c r="A1597" t="str">
        <f t="shared" si="24"/>
        <v>2002001824212026M12</v>
      </c>
      <c r="B1597">
        <v>51321001</v>
      </c>
      <c r="C1597">
        <v>18</v>
      </c>
      <c r="D1597">
        <v>200200</v>
      </c>
      <c r="E1597">
        <v>182421</v>
      </c>
      <c r="F1597" t="s">
        <v>115</v>
      </c>
      <c r="G1597" t="s">
        <v>74</v>
      </c>
      <c r="H1597">
        <v>19720</v>
      </c>
      <c r="I1597">
        <v>0</v>
      </c>
      <c r="J1597">
        <v>19720</v>
      </c>
      <c r="K1597">
        <v>0</v>
      </c>
      <c r="L1597">
        <v>0</v>
      </c>
    </row>
    <row r="1598" spans="1:12" x14ac:dyDescent="0.25">
      <c r="A1598" t="str">
        <f t="shared" si="24"/>
        <v>7310019P9012026M02</v>
      </c>
      <c r="B1598">
        <v>51321001</v>
      </c>
      <c r="C1598">
        <v>19</v>
      </c>
      <c r="D1598">
        <v>73100</v>
      </c>
      <c r="E1598" t="s">
        <v>83</v>
      </c>
      <c r="F1598" t="s">
        <v>115</v>
      </c>
      <c r="G1598" t="s">
        <v>64</v>
      </c>
      <c r="H1598">
        <v>0</v>
      </c>
      <c r="I1598">
        <v>0</v>
      </c>
      <c r="J1598">
        <v>0</v>
      </c>
      <c r="K1598">
        <v>0</v>
      </c>
      <c r="L1598">
        <v>0</v>
      </c>
    </row>
    <row r="1599" spans="1:12" x14ac:dyDescent="0.25">
      <c r="A1599" t="str">
        <f t="shared" si="24"/>
        <v>7310019P9012026M03</v>
      </c>
      <c r="B1599">
        <v>51321001</v>
      </c>
      <c r="C1599">
        <v>19</v>
      </c>
      <c r="D1599">
        <v>73100</v>
      </c>
      <c r="E1599" t="s">
        <v>83</v>
      </c>
      <c r="F1599" t="s">
        <v>115</v>
      </c>
      <c r="G1599" t="s">
        <v>65</v>
      </c>
      <c r="H1599">
        <v>0</v>
      </c>
      <c r="I1599">
        <v>0</v>
      </c>
      <c r="J1599">
        <v>0</v>
      </c>
      <c r="K1599">
        <v>0</v>
      </c>
      <c r="L1599">
        <v>0</v>
      </c>
    </row>
    <row r="1600" spans="1:12" x14ac:dyDescent="0.25">
      <c r="A1600" t="str">
        <f t="shared" si="24"/>
        <v>7310019P9012026M04</v>
      </c>
      <c r="B1600">
        <v>51321001</v>
      </c>
      <c r="C1600">
        <v>19</v>
      </c>
      <c r="D1600">
        <v>73100</v>
      </c>
      <c r="E1600" t="s">
        <v>83</v>
      </c>
      <c r="F1600" t="s">
        <v>115</v>
      </c>
      <c r="G1600" t="s">
        <v>66</v>
      </c>
      <c r="H1600">
        <v>0</v>
      </c>
      <c r="I1600">
        <v>0</v>
      </c>
      <c r="J1600">
        <v>0</v>
      </c>
      <c r="K1600">
        <v>0</v>
      </c>
      <c r="L1600">
        <v>0</v>
      </c>
    </row>
    <row r="1601" spans="1:12" x14ac:dyDescent="0.25">
      <c r="A1601" t="str">
        <f t="shared" si="24"/>
        <v>7310019P9012026M05</v>
      </c>
      <c r="B1601">
        <v>51321001</v>
      </c>
      <c r="C1601">
        <v>19</v>
      </c>
      <c r="D1601">
        <v>73100</v>
      </c>
      <c r="E1601" t="s">
        <v>83</v>
      </c>
      <c r="F1601" t="s">
        <v>115</v>
      </c>
      <c r="G1601" t="s">
        <v>67</v>
      </c>
      <c r="H1601">
        <v>0</v>
      </c>
      <c r="I1601">
        <v>0</v>
      </c>
      <c r="J1601">
        <v>0</v>
      </c>
      <c r="K1601">
        <v>0</v>
      </c>
      <c r="L1601">
        <v>0</v>
      </c>
    </row>
    <row r="1602" spans="1:12" x14ac:dyDescent="0.25">
      <c r="A1602" t="str">
        <f t="shared" si="24"/>
        <v>7310019P9012026M06</v>
      </c>
      <c r="B1602">
        <v>51321001</v>
      </c>
      <c r="C1602">
        <v>19</v>
      </c>
      <c r="D1602">
        <v>73100</v>
      </c>
      <c r="E1602" t="s">
        <v>83</v>
      </c>
      <c r="F1602" t="s">
        <v>115</v>
      </c>
      <c r="G1602" t="s">
        <v>68</v>
      </c>
      <c r="H1602">
        <v>0</v>
      </c>
      <c r="I1602">
        <v>0</v>
      </c>
      <c r="J1602">
        <v>0</v>
      </c>
      <c r="K1602">
        <v>0</v>
      </c>
      <c r="L1602">
        <v>0</v>
      </c>
    </row>
    <row r="1603" spans="1:12" x14ac:dyDescent="0.25">
      <c r="A1603" t="str">
        <f t="shared" si="24"/>
        <v>7310019P9012026M07</v>
      </c>
      <c r="B1603">
        <v>51321001</v>
      </c>
      <c r="C1603">
        <v>19</v>
      </c>
      <c r="D1603">
        <v>73100</v>
      </c>
      <c r="E1603" t="s">
        <v>83</v>
      </c>
      <c r="F1603" t="s">
        <v>115</v>
      </c>
      <c r="G1603" t="s">
        <v>69</v>
      </c>
      <c r="H1603">
        <v>0</v>
      </c>
      <c r="I1603">
        <v>0</v>
      </c>
      <c r="J1603">
        <v>0</v>
      </c>
      <c r="K1603">
        <v>0</v>
      </c>
      <c r="L1603">
        <v>0</v>
      </c>
    </row>
    <row r="1604" spans="1:12" x14ac:dyDescent="0.25">
      <c r="A1604" t="str">
        <f t="shared" si="24"/>
        <v>7310019P9012026M08</v>
      </c>
      <c r="B1604">
        <v>51321001</v>
      </c>
      <c r="C1604">
        <v>19</v>
      </c>
      <c r="D1604">
        <v>73100</v>
      </c>
      <c r="E1604" t="s">
        <v>83</v>
      </c>
      <c r="F1604" t="s">
        <v>115</v>
      </c>
      <c r="G1604" t="s">
        <v>70</v>
      </c>
      <c r="H1604">
        <v>0</v>
      </c>
      <c r="I1604">
        <v>0</v>
      </c>
      <c r="J1604">
        <v>0</v>
      </c>
      <c r="K1604">
        <v>0</v>
      </c>
      <c r="L1604">
        <v>0</v>
      </c>
    </row>
    <row r="1605" spans="1:12" x14ac:dyDescent="0.25">
      <c r="A1605" t="str">
        <f t="shared" si="24"/>
        <v>7310019P9012026M09</v>
      </c>
      <c r="B1605">
        <v>51321001</v>
      </c>
      <c r="C1605">
        <v>19</v>
      </c>
      <c r="D1605">
        <v>73100</v>
      </c>
      <c r="E1605" t="s">
        <v>83</v>
      </c>
      <c r="F1605" t="s">
        <v>115</v>
      </c>
      <c r="G1605" t="s">
        <v>71</v>
      </c>
      <c r="H1605">
        <v>200000</v>
      </c>
      <c r="I1605">
        <v>200000</v>
      </c>
      <c r="J1605">
        <v>0</v>
      </c>
      <c r="K1605">
        <v>0</v>
      </c>
      <c r="L1605">
        <v>0</v>
      </c>
    </row>
    <row r="1606" spans="1:12" x14ac:dyDescent="0.25">
      <c r="A1606" t="str">
        <f t="shared" si="24"/>
        <v>7310019P9012026M10</v>
      </c>
      <c r="B1606">
        <v>51321001</v>
      </c>
      <c r="C1606">
        <v>19</v>
      </c>
      <c r="D1606">
        <v>73100</v>
      </c>
      <c r="E1606" t="s">
        <v>83</v>
      </c>
      <c r="F1606" t="s">
        <v>115</v>
      </c>
      <c r="G1606" t="s">
        <v>72</v>
      </c>
      <c r="H1606">
        <v>25000</v>
      </c>
      <c r="I1606">
        <v>25000</v>
      </c>
      <c r="J1606">
        <v>0</v>
      </c>
      <c r="K1606">
        <v>0</v>
      </c>
      <c r="L1606">
        <v>0</v>
      </c>
    </row>
    <row r="1607" spans="1:12" x14ac:dyDescent="0.25">
      <c r="A1607" t="str">
        <f t="shared" si="24"/>
        <v>7310019P9012026M11</v>
      </c>
      <c r="B1607">
        <v>51321001</v>
      </c>
      <c r="C1607">
        <v>19</v>
      </c>
      <c r="D1607">
        <v>73100</v>
      </c>
      <c r="E1607" t="s">
        <v>83</v>
      </c>
      <c r="F1607" t="s">
        <v>115</v>
      </c>
      <c r="G1607" t="s">
        <v>73</v>
      </c>
      <c r="H1607">
        <v>25000</v>
      </c>
      <c r="I1607">
        <v>0</v>
      </c>
      <c r="J1607">
        <v>25000</v>
      </c>
      <c r="K1607">
        <v>0</v>
      </c>
      <c r="L1607">
        <v>0</v>
      </c>
    </row>
    <row r="1608" spans="1:12" x14ac:dyDescent="0.25">
      <c r="A1608" t="str">
        <f t="shared" si="24"/>
        <v>7310019P9012026M12</v>
      </c>
      <c r="B1608">
        <v>51321001</v>
      </c>
      <c r="C1608">
        <v>19</v>
      </c>
      <c r="D1608">
        <v>73100</v>
      </c>
      <c r="E1608" t="s">
        <v>83</v>
      </c>
      <c r="F1608" t="s">
        <v>115</v>
      </c>
      <c r="G1608" t="s">
        <v>74</v>
      </c>
      <c r="H1608">
        <v>50000</v>
      </c>
      <c r="I1608">
        <v>0</v>
      </c>
      <c r="J1608">
        <v>50000</v>
      </c>
      <c r="K1608">
        <v>0</v>
      </c>
      <c r="L1608">
        <v>0</v>
      </c>
    </row>
    <row r="1609" spans="1:12" x14ac:dyDescent="0.25">
      <c r="A1609" t="str">
        <f t="shared" si="24"/>
        <v>9202011980022026M02</v>
      </c>
      <c r="B1609">
        <v>51321001</v>
      </c>
      <c r="C1609">
        <v>19</v>
      </c>
      <c r="D1609">
        <v>920201</v>
      </c>
      <c r="E1609">
        <v>198002</v>
      </c>
      <c r="F1609" t="s">
        <v>115</v>
      </c>
      <c r="G1609" t="s">
        <v>64</v>
      </c>
      <c r="H1609">
        <v>27144</v>
      </c>
      <c r="I1609">
        <v>27144</v>
      </c>
      <c r="J1609">
        <v>0</v>
      </c>
      <c r="K1609">
        <v>0</v>
      </c>
      <c r="L1609">
        <v>0</v>
      </c>
    </row>
    <row r="1610" spans="1:12" x14ac:dyDescent="0.25">
      <c r="A1610" t="str">
        <f t="shared" si="24"/>
        <v>9202011980022026M03</v>
      </c>
      <c r="B1610">
        <v>51321001</v>
      </c>
      <c r="C1610">
        <v>19</v>
      </c>
      <c r="D1610">
        <v>920201</v>
      </c>
      <c r="E1610">
        <v>198002</v>
      </c>
      <c r="F1610" t="s">
        <v>115</v>
      </c>
      <c r="G1610" t="s">
        <v>65</v>
      </c>
      <c r="H1610">
        <v>27144</v>
      </c>
      <c r="I1610">
        <v>27144</v>
      </c>
      <c r="J1610">
        <v>0</v>
      </c>
      <c r="K1610">
        <v>0</v>
      </c>
      <c r="L1610">
        <v>0</v>
      </c>
    </row>
    <row r="1611" spans="1:12" x14ac:dyDescent="0.25">
      <c r="A1611" t="str">
        <f t="shared" ref="A1611:A1674" si="25">D1611&amp;E1611&amp;G1611</f>
        <v>9202011980022026M04</v>
      </c>
      <c r="B1611">
        <v>51321001</v>
      </c>
      <c r="C1611">
        <v>19</v>
      </c>
      <c r="D1611">
        <v>920201</v>
      </c>
      <c r="E1611">
        <v>198002</v>
      </c>
      <c r="F1611" t="s">
        <v>115</v>
      </c>
      <c r="G1611" t="s">
        <v>66</v>
      </c>
      <c r="H1611">
        <v>27144</v>
      </c>
      <c r="I1611">
        <v>27144</v>
      </c>
      <c r="J1611">
        <v>0</v>
      </c>
      <c r="K1611">
        <v>0</v>
      </c>
      <c r="L1611">
        <v>0</v>
      </c>
    </row>
    <row r="1612" spans="1:12" x14ac:dyDescent="0.25">
      <c r="A1612" t="str">
        <f t="shared" si="25"/>
        <v>9202011980022026M05</v>
      </c>
      <c r="B1612">
        <v>51321001</v>
      </c>
      <c r="C1612">
        <v>19</v>
      </c>
      <c r="D1612">
        <v>920201</v>
      </c>
      <c r="E1612">
        <v>198002</v>
      </c>
      <c r="F1612" t="s">
        <v>115</v>
      </c>
      <c r="G1612" t="s">
        <v>67</v>
      </c>
      <c r="H1612">
        <v>27144</v>
      </c>
      <c r="I1612">
        <v>27144</v>
      </c>
      <c r="J1612">
        <v>0</v>
      </c>
      <c r="K1612">
        <v>0</v>
      </c>
      <c r="L1612">
        <v>0</v>
      </c>
    </row>
    <row r="1613" spans="1:12" x14ac:dyDescent="0.25">
      <c r="A1613" t="str">
        <f t="shared" si="25"/>
        <v>9202011980022026M06</v>
      </c>
      <c r="B1613">
        <v>51321001</v>
      </c>
      <c r="C1613">
        <v>19</v>
      </c>
      <c r="D1613">
        <v>920201</v>
      </c>
      <c r="E1613">
        <v>198002</v>
      </c>
      <c r="F1613" t="s">
        <v>115</v>
      </c>
      <c r="G1613" t="s">
        <v>68</v>
      </c>
      <c r="H1613">
        <v>27144</v>
      </c>
      <c r="I1613">
        <v>27144</v>
      </c>
      <c r="J1613">
        <v>0</v>
      </c>
      <c r="K1613">
        <v>0</v>
      </c>
      <c r="L1613">
        <v>0</v>
      </c>
    </row>
    <row r="1614" spans="1:12" x14ac:dyDescent="0.25">
      <c r="A1614" t="str">
        <f t="shared" si="25"/>
        <v>9202011980022026M07</v>
      </c>
      <c r="B1614">
        <v>51321001</v>
      </c>
      <c r="C1614">
        <v>19</v>
      </c>
      <c r="D1614">
        <v>920201</v>
      </c>
      <c r="E1614">
        <v>198002</v>
      </c>
      <c r="F1614" t="s">
        <v>115</v>
      </c>
      <c r="G1614" t="s">
        <v>69</v>
      </c>
      <c r="H1614">
        <v>27144</v>
      </c>
      <c r="I1614">
        <v>27144</v>
      </c>
      <c r="J1614">
        <v>0</v>
      </c>
      <c r="K1614">
        <v>0</v>
      </c>
      <c r="L1614">
        <v>0</v>
      </c>
    </row>
    <row r="1615" spans="1:12" x14ac:dyDescent="0.25">
      <c r="A1615" t="str">
        <f t="shared" si="25"/>
        <v>9202011980022026M08</v>
      </c>
      <c r="B1615">
        <v>51321001</v>
      </c>
      <c r="C1615">
        <v>19</v>
      </c>
      <c r="D1615">
        <v>920201</v>
      </c>
      <c r="E1615">
        <v>198002</v>
      </c>
      <c r="F1615" t="s">
        <v>115</v>
      </c>
      <c r="G1615" t="s">
        <v>70</v>
      </c>
      <c r="H1615">
        <v>27144</v>
      </c>
      <c r="I1615">
        <v>27144</v>
      </c>
      <c r="J1615">
        <v>0</v>
      </c>
      <c r="K1615">
        <v>0</v>
      </c>
      <c r="L1615">
        <v>0</v>
      </c>
    </row>
    <row r="1616" spans="1:12" x14ac:dyDescent="0.25">
      <c r="A1616" t="str">
        <f t="shared" si="25"/>
        <v>9202011980022026M09</v>
      </c>
      <c r="B1616">
        <v>51321001</v>
      </c>
      <c r="C1616">
        <v>19</v>
      </c>
      <c r="D1616">
        <v>920201</v>
      </c>
      <c r="E1616">
        <v>198002</v>
      </c>
      <c r="F1616" t="s">
        <v>115</v>
      </c>
      <c r="G1616" t="s">
        <v>71</v>
      </c>
      <c r="H1616">
        <v>27144</v>
      </c>
      <c r="I1616">
        <v>27144</v>
      </c>
      <c r="J1616">
        <v>0</v>
      </c>
      <c r="K1616">
        <v>0</v>
      </c>
      <c r="L1616">
        <v>0</v>
      </c>
    </row>
    <row r="1617" spans="1:12" x14ac:dyDescent="0.25">
      <c r="A1617" t="str">
        <f t="shared" si="25"/>
        <v>9202011980022026M10</v>
      </c>
      <c r="B1617">
        <v>51321001</v>
      </c>
      <c r="C1617">
        <v>19</v>
      </c>
      <c r="D1617">
        <v>920201</v>
      </c>
      <c r="E1617">
        <v>198002</v>
      </c>
      <c r="F1617" t="s">
        <v>115</v>
      </c>
      <c r="G1617" t="s">
        <v>72</v>
      </c>
      <c r="H1617">
        <v>27144</v>
      </c>
      <c r="I1617">
        <v>27144</v>
      </c>
      <c r="J1617">
        <v>0</v>
      </c>
      <c r="K1617">
        <v>0</v>
      </c>
      <c r="L1617">
        <v>0</v>
      </c>
    </row>
    <row r="1618" spans="1:12" x14ac:dyDescent="0.25">
      <c r="A1618" t="str">
        <f t="shared" si="25"/>
        <v>9202011980022026M11</v>
      </c>
      <c r="B1618">
        <v>51321001</v>
      </c>
      <c r="C1618">
        <v>19</v>
      </c>
      <c r="D1618">
        <v>920201</v>
      </c>
      <c r="E1618">
        <v>198002</v>
      </c>
      <c r="F1618" t="s">
        <v>115</v>
      </c>
      <c r="G1618" t="s">
        <v>73</v>
      </c>
      <c r="H1618">
        <v>27144</v>
      </c>
      <c r="I1618">
        <v>0</v>
      </c>
      <c r="J1618">
        <v>27144</v>
      </c>
      <c r="K1618">
        <v>0</v>
      </c>
      <c r="L1618">
        <v>0</v>
      </c>
    </row>
    <row r="1619" spans="1:12" x14ac:dyDescent="0.25">
      <c r="A1619" t="str">
        <f t="shared" si="25"/>
        <v>9202011980022026M12</v>
      </c>
      <c r="B1619">
        <v>51321001</v>
      </c>
      <c r="C1619">
        <v>19</v>
      </c>
      <c r="D1619">
        <v>920201</v>
      </c>
      <c r="E1619">
        <v>198002</v>
      </c>
      <c r="F1619" t="s">
        <v>115</v>
      </c>
      <c r="G1619" t="s">
        <v>74</v>
      </c>
      <c r="H1619">
        <v>54288</v>
      </c>
      <c r="I1619">
        <v>0</v>
      </c>
      <c r="J1619">
        <v>54288</v>
      </c>
      <c r="K1619">
        <v>0</v>
      </c>
      <c r="L1619">
        <v>0</v>
      </c>
    </row>
    <row r="1620" spans="1:12" x14ac:dyDescent="0.25">
      <c r="A1620" t="str">
        <f t="shared" si="25"/>
        <v>2002222024422026M02</v>
      </c>
      <c r="B1620">
        <v>51321001</v>
      </c>
      <c r="C1620">
        <v>20</v>
      </c>
      <c r="D1620">
        <v>200222</v>
      </c>
      <c r="E1620">
        <v>202442</v>
      </c>
      <c r="F1620" t="s">
        <v>115</v>
      </c>
      <c r="G1620" t="s">
        <v>64</v>
      </c>
      <c r="H1620">
        <v>8120</v>
      </c>
      <c r="I1620">
        <v>8120</v>
      </c>
      <c r="J1620">
        <v>0</v>
      </c>
      <c r="K1620">
        <v>0</v>
      </c>
      <c r="L1620">
        <v>0</v>
      </c>
    </row>
    <row r="1621" spans="1:12" x14ac:dyDescent="0.25">
      <c r="A1621" t="str">
        <f t="shared" si="25"/>
        <v>2002222024422026M03</v>
      </c>
      <c r="B1621">
        <v>51321001</v>
      </c>
      <c r="C1621">
        <v>20</v>
      </c>
      <c r="D1621">
        <v>200222</v>
      </c>
      <c r="E1621">
        <v>202442</v>
      </c>
      <c r="F1621" t="s">
        <v>115</v>
      </c>
      <c r="G1621" t="s">
        <v>65</v>
      </c>
      <c r="H1621">
        <v>8120</v>
      </c>
      <c r="I1621">
        <v>8120</v>
      </c>
      <c r="J1621">
        <v>0</v>
      </c>
      <c r="K1621">
        <v>0</v>
      </c>
      <c r="L1621">
        <v>0</v>
      </c>
    </row>
    <row r="1622" spans="1:12" x14ac:dyDescent="0.25">
      <c r="A1622" t="str">
        <f t="shared" si="25"/>
        <v>2002222024422026M04</v>
      </c>
      <c r="B1622">
        <v>51321001</v>
      </c>
      <c r="C1622">
        <v>20</v>
      </c>
      <c r="D1622">
        <v>200222</v>
      </c>
      <c r="E1622">
        <v>202442</v>
      </c>
      <c r="F1622" t="s">
        <v>115</v>
      </c>
      <c r="G1622" t="s">
        <v>66</v>
      </c>
      <c r="H1622">
        <v>8120</v>
      </c>
      <c r="I1622">
        <v>8120</v>
      </c>
      <c r="J1622">
        <v>0</v>
      </c>
      <c r="K1622">
        <v>0</v>
      </c>
      <c r="L1622">
        <v>0</v>
      </c>
    </row>
    <row r="1623" spans="1:12" x14ac:dyDescent="0.25">
      <c r="A1623" t="str">
        <f t="shared" si="25"/>
        <v>2002222024422026M05</v>
      </c>
      <c r="B1623">
        <v>51321001</v>
      </c>
      <c r="C1623">
        <v>20</v>
      </c>
      <c r="D1623">
        <v>200222</v>
      </c>
      <c r="E1623">
        <v>202442</v>
      </c>
      <c r="F1623" t="s">
        <v>115</v>
      </c>
      <c r="G1623" t="s">
        <v>67</v>
      </c>
      <c r="H1623">
        <v>8120</v>
      </c>
      <c r="I1623">
        <v>8120</v>
      </c>
      <c r="J1623">
        <v>0</v>
      </c>
      <c r="K1623">
        <v>0</v>
      </c>
      <c r="L1623">
        <v>0</v>
      </c>
    </row>
    <row r="1624" spans="1:12" x14ac:dyDescent="0.25">
      <c r="A1624" t="str">
        <f t="shared" si="25"/>
        <v>2002222024422026M06</v>
      </c>
      <c r="B1624">
        <v>51321001</v>
      </c>
      <c r="C1624">
        <v>20</v>
      </c>
      <c r="D1624">
        <v>200222</v>
      </c>
      <c r="E1624">
        <v>202442</v>
      </c>
      <c r="F1624" t="s">
        <v>115</v>
      </c>
      <c r="G1624" t="s">
        <v>68</v>
      </c>
      <c r="H1624">
        <v>8120</v>
      </c>
      <c r="I1624">
        <v>8120</v>
      </c>
      <c r="J1624">
        <v>0</v>
      </c>
      <c r="K1624">
        <v>0</v>
      </c>
      <c r="L1624">
        <v>0</v>
      </c>
    </row>
    <row r="1625" spans="1:12" x14ac:dyDescent="0.25">
      <c r="A1625" t="str">
        <f t="shared" si="25"/>
        <v>2002222024422026M07</v>
      </c>
      <c r="B1625">
        <v>51321001</v>
      </c>
      <c r="C1625">
        <v>20</v>
      </c>
      <c r="D1625">
        <v>200222</v>
      </c>
      <c r="E1625">
        <v>202442</v>
      </c>
      <c r="F1625" t="s">
        <v>115</v>
      </c>
      <c r="G1625" t="s">
        <v>69</v>
      </c>
      <c r="H1625">
        <v>8120</v>
      </c>
      <c r="I1625">
        <v>8120</v>
      </c>
      <c r="J1625">
        <v>0</v>
      </c>
      <c r="K1625">
        <v>0</v>
      </c>
      <c r="L1625">
        <v>0</v>
      </c>
    </row>
    <row r="1626" spans="1:12" x14ac:dyDescent="0.25">
      <c r="A1626" t="str">
        <f t="shared" si="25"/>
        <v>2002222024422026M08</v>
      </c>
      <c r="B1626">
        <v>51321001</v>
      </c>
      <c r="C1626">
        <v>20</v>
      </c>
      <c r="D1626">
        <v>200222</v>
      </c>
      <c r="E1626">
        <v>202442</v>
      </c>
      <c r="F1626" t="s">
        <v>115</v>
      </c>
      <c r="G1626" t="s">
        <v>70</v>
      </c>
      <c r="H1626">
        <v>8120</v>
      </c>
      <c r="I1626">
        <v>8120</v>
      </c>
      <c r="J1626">
        <v>0</v>
      </c>
      <c r="K1626">
        <v>0</v>
      </c>
      <c r="L1626">
        <v>0</v>
      </c>
    </row>
    <row r="1627" spans="1:12" x14ac:dyDescent="0.25">
      <c r="A1627" t="str">
        <f t="shared" si="25"/>
        <v>2002222024422026M09</v>
      </c>
      <c r="B1627">
        <v>51321001</v>
      </c>
      <c r="C1627">
        <v>20</v>
      </c>
      <c r="D1627">
        <v>200222</v>
      </c>
      <c r="E1627">
        <v>202442</v>
      </c>
      <c r="F1627" t="s">
        <v>115</v>
      </c>
      <c r="G1627" t="s">
        <v>71</v>
      </c>
      <c r="H1627">
        <v>8120</v>
      </c>
      <c r="I1627">
        <v>8120</v>
      </c>
      <c r="J1627">
        <v>0</v>
      </c>
      <c r="K1627">
        <v>0</v>
      </c>
      <c r="L1627">
        <v>0</v>
      </c>
    </row>
    <row r="1628" spans="1:12" x14ac:dyDescent="0.25">
      <c r="A1628" t="str">
        <f t="shared" si="25"/>
        <v>2002222024422026M10</v>
      </c>
      <c r="B1628">
        <v>51321001</v>
      </c>
      <c r="C1628">
        <v>20</v>
      </c>
      <c r="D1628">
        <v>200222</v>
      </c>
      <c r="E1628">
        <v>202442</v>
      </c>
      <c r="F1628" t="s">
        <v>115</v>
      </c>
      <c r="G1628" t="s">
        <v>72</v>
      </c>
      <c r="H1628">
        <v>8120</v>
      </c>
      <c r="I1628">
        <v>8120</v>
      </c>
      <c r="J1628">
        <v>0</v>
      </c>
      <c r="K1628">
        <v>0</v>
      </c>
      <c r="L1628">
        <v>0</v>
      </c>
    </row>
    <row r="1629" spans="1:12" x14ac:dyDescent="0.25">
      <c r="A1629" t="str">
        <f t="shared" si="25"/>
        <v>2002222024422026M11</v>
      </c>
      <c r="B1629">
        <v>51321001</v>
      </c>
      <c r="C1629">
        <v>20</v>
      </c>
      <c r="D1629">
        <v>200222</v>
      </c>
      <c r="E1629">
        <v>202442</v>
      </c>
      <c r="F1629" t="s">
        <v>115</v>
      </c>
      <c r="G1629" t="s">
        <v>73</v>
      </c>
      <c r="H1629">
        <v>8120</v>
      </c>
      <c r="I1629">
        <v>0</v>
      </c>
      <c r="J1629">
        <v>8120</v>
      </c>
      <c r="K1629">
        <v>0</v>
      </c>
      <c r="L1629">
        <v>0</v>
      </c>
    </row>
    <row r="1630" spans="1:12" x14ac:dyDescent="0.25">
      <c r="A1630" t="str">
        <f t="shared" si="25"/>
        <v>2002222024422026M12</v>
      </c>
      <c r="B1630">
        <v>51321001</v>
      </c>
      <c r="C1630">
        <v>20</v>
      </c>
      <c r="D1630">
        <v>200222</v>
      </c>
      <c r="E1630">
        <v>202442</v>
      </c>
      <c r="F1630" t="s">
        <v>115</v>
      </c>
      <c r="G1630" t="s">
        <v>74</v>
      </c>
      <c r="H1630">
        <v>16240</v>
      </c>
      <c r="I1630">
        <v>0</v>
      </c>
      <c r="J1630">
        <v>16240</v>
      </c>
      <c r="K1630">
        <v>0</v>
      </c>
      <c r="L1630">
        <v>0</v>
      </c>
    </row>
    <row r="1631" spans="1:12" x14ac:dyDescent="0.25">
      <c r="A1631" t="str">
        <f t="shared" si="25"/>
        <v>3102032053072026M02</v>
      </c>
      <c r="B1631">
        <v>51321001</v>
      </c>
      <c r="C1631">
        <v>20</v>
      </c>
      <c r="D1631">
        <v>310203</v>
      </c>
      <c r="E1631">
        <v>205307</v>
      </c>
      <c r="F1631" t="s">
        <v>115</v>
      </c>
      <c r="G1631" t="s">
        <v>64</v>
      </c>
      <c r="H1631">
        <v>38660.269999999997</v>
      </c>
      <c r="I1631">
        <v>38660.269999999997</v>
      </c>
      <c r="J1631">
        <v>0</v>
      </c>
      <c r="K1631">
        <v>0</v>
      </c>
      <c r="L1631">
        <v>0</v>
      </c>
    </row>
    <row r="1632" spans="1:12" x14ac:dyDescent="0.25">
      <c r="A1632" t="str">
        <f t="shared" si="25"/>
        <v>3102032053072026M03</v>
      </c>
      <c r="B1632">
        <v>51321001</v>
      </c>
      <c r="C1632">
        <v>20</v>
      </c>
      <c r="D1632">
        <v>310203</v>
      </c>
      <c r="E1632">
        <v>205307</v>
      </c>
      <c r="F1632" t="s">
        <v>115</v>
      </c>
      <c r="G1632" t="s">
        <v>65</v>
      </c>
      <c r="H1632">
        <v>38660.269999999997</v>
      </c>
      <c r="I1632">
        <v>38660.269999999997</v>
      </c>
      <c r="J1632">
        <v>0</v>
      </c>
      <c r="K1632">
        <v>0</v>
      </c>
      <c r="L1632">
        <v>0</v>
      </c>
    </row>
    <row r="1633" spans="1:12" x14ac:dyDescent="0.25">
      <c r="A1633" t="str">
        <f t="shared" si="25"/>
        <v>3102032053072026M04</v>
      </c>
      <c r="B1633">
        <v>51321001</v>
      </c>
      <c r="C1633">
        <v>20</v>
      </c>
      <c r="D1633">
        <v>310203</v>
      </c>
      <c r="E1633">
        <v>205307</v>
      </c>
      <c r="F1633" t="s">
        <v>115</v>
      </c>
      <c r="G1633" t="s">
        <v>66</v>
      </c>
      <c r="H1633">
        <v>38660.269999999997</v>
      </c>
      <c r="I1633">
        <v>38660.269999999997</v>
      </c>
      <c r="J1633">
        <v>0</v>
      </c>
      <c r="K1633">
        <v>0</v>
      </c>
      <c r="L1633">
        <v>0</v>
      </c>
    </row>
    <row r="1634" spans="1:12" x14ac:dyDescent="0.25">
      <c r="A1634" t="str">
        <f t="shared" si="25"/>
        <v>3102032053072026M05</v>
      </c>
      <c r="B1634">
        <v>51321001</v>
      </c>
      <c r="C1634">
        <v>20</v>
      </c>
      <c r="D1634">
        <v>310203</v>
      </c>
      <c r="E1634">
        <v>205307</v>
      </c>
      <c r="F1634" t="s">
        <v>115</v>
      </c>
      <c r="G1634" t="s">
        <v>67</v>
      </c>
      <c r="H1634">
        <v>38660.269999999997</v>
      </c>
      <c r="I1634">
        <v>38660.269999999997</v>
      </c>
      <c r="J1634">
        <v>0</v>
      </c>
      <c r="K1634">
        <v>0</v>
      </c>
      <c r="L1634">
        <v>0</v>
      </c>
    </row>
    <row r="1635" spans="1:12" x14ac:dyDescent="0.25">
      <c r="A1635" t="str">
        <f t="shared" si="25"/>
        <v>3102032053072026M06</v>
      </c>
      <c r="B1635">
        <v>51321001</v>
      </c>
      <c r="C1635">
        <v>20</v>
      </c>
      <c r="D1635">
        <v>310203</v>
      </c>
      <c r="E1635">
        <v>205307</v>
      </c>
      <c r="F1635" t="s">
        <v>115</v>
      </c>
      <c r="G1635" t="s">
        <v>68</v>
      </c>
      <c r="H1635">
        <v>38660.269999999997</v>
      </c>
      <c r="I1635">
        <v>38660.269999999997</v>
      </c>
      <c r="J1635">
        <v>0</v>
      </c>
      <c r="K1635">
        <v>0</v>
      </c>
      <c r="L1635">
        <v>0</v>
      </c>
    </row>
    <row r="1636" spans="1:12" x14ac:dyDescent="0.25">
      <c r="A1636" t="str">
        <f t="shared" si="25"/>
        <v>3102032053072026M07</v>
      </c>
      <c r="B1636">
        <v>51321001</v>
      </c>
      <c r="C1636">
        <v>20</v>
      </c>
      <c r="D1636">
        <v>310203</v>
      </c>
      <c r="E1636">
        <v>205307</v>
      </c>
      <c r="F1636" t="s">
        <v>115</v>
      </c>
      <c r="G1636" t="s">
        <v>69</v>
      </c>
      <c r="H1636">
        <v>38660.269999999997</v>
      </c>
      <c r="I1636">
        <v>38660.269999999997</v>
      </c>
      <c r="J1636">
        <v>0</v>
      </c>
      <c r="K1636">
        <v>0</v>
      </c>
      <c r="L1636">
        <v>0</v>
      </c>
    </row>
    <row r="1637" spans="1:12" x14ac:dyDescent="0.25">
      <c r="A1637" t="str">
        <f t="shared" si="25"/>
        <v>3102032053072026M08</v>
      </c>
      <c r="B1637">
        <v>51321001</v>
      </c>
      <c r="C1637">
        <v>20</v>
      </c>
      <c r="D1637">
        <v>310203</v>
      </c>
      <c r="E1637">
        <v>205307</v>
      </c>
      <c r="F1637" t="s">
        <v>115</v>
      </c>
      <c r="G1637" t="s">
        <v>70</v>
      </c>
      <c r="H1637">
        <v>38660.269999999997</v>
      </c>
      <c r="I1637">
        <v>38660.269999999997</v>
      </c>
      <c r="J1637">
        <v>0</v>
      </c>
      <c r="K1637">
        <v>0</v>
      </c>
      <c r="L1637">
        <v>0</v>
      </c>
    </row>
    <row r="1638" spans="1:12" x14ac:dyDescent="0.25">
      <c r="A1638" t="str">
        <f t="shared" si="25"/>
        <v>3102032053072026M09</v>
      </c>
      <c r="B1638">
        <v>51321001</v>
      </c>
      <c r="C1638">
        <v>20</v>
      </c>
      <c r="D1638">
        <v>310203</v>
      </c>
      <c r="E1638">
        <v>205307</v>
      </c>
      <c r="F1638" t="s">
        <v>115</v>
      </c>
      <c r="G1638" t="s">
        <v>71</v>
      </c>
      <c r="H1638">
        <v>38660.269999999997</v>
      </c>
      <c r="I1638">
        <v>38660.269999999997</v>
      </c>
      <c r="J1638">
        <v>0</v>
      </c>
      <c r="K1638">
        <v>0</v>
      </c>
      <c r="L1638">
        <v>0</v>
      </c>
    </row>
    <row r="1639" spans="1:12" x14ac:dyDescent="0.25">
      <c r="A1639" t="str">
        <f t="shared" si="25"/>
        <v>3102032053072026M10</v>
      </c>
      <c r="B1639">
        <v>51321001</v>
      </c>
      <c r="C1639">
        <v>20</v>
      </c>
      <c r="D1639">
        <v>310203</v>
      </c>
      <c r="E1639">
        <v>205307</v>
      </c>
      <c r="F1639" t="s">
        <v>115</v>
      </c>
      <c r="G1639" t="s">
        <v>72</v>
      </c>
      <c r="H1639">
        <v>38666.839999999997</v>
      </c>
      <c r="I1639">
        <v>38660.269999999997</v>
      </c>
      <c r="J1639">
        <v>0.23</v>
      </c>
      <c r="K1639">
        <v>0</v>
      </c>
      <c r="L1639">
        <v>6.34</v>
      </c>
    </row>
    <row r="1640" spans="1:12" x14ac:dyDescent="0.25">
      <c r="A1640" t="str">
        <f t="shared" si="25"/>
        <v>3102032053072026M11</v>
      </c>
      <c r="B1640">
        <v>51321001</v>
      </c>
      <c r="C1640">
        <v>20</v>
      </c>
      <c r="D1640">
        <v>310203</v>
      </c>
      <c r="E1640">
        <v>205307</v>
      </c>
      <c r="F1640" t="s">
        <v>115</v>
      </c>
      <c r="G1640" t="s">
        <v>73</v>
      </c>
      <c r="H1640">
        <v>38661</v>
      </c>
      <c r="I1640">
        <v>0</v>
      </c>
      <c r="J1640">
        <v>38660.29</v>
      </c>
      <c r="K1640">
        <v>0</v>
      </c>
      <c r="L1640">
        <v>0.71</v>
      </c>
    </row>
    <row r="1641" spans="1:12" x14ac:dyDescent="0.25">
      <c r="A1641" t="str">
        <f t="shared" si="25"/>
        <v>3102032053072026M12</v>
      </c>
      <c r="B1641">
        <v>51321001</v>
      </c>
      <c r="C1641">
        <v>20</v>
      </c>
      <c r="D1641">
        <v>310203</v>
      </c>
      <c r="E1641">
        <v>205307</v>
      </c>
      <c r="F1641" t="s">
        <v>115</v>
      </c>
      <c r="G1641" t="s">
        <v>74</v>
      </c>
      <c r="H1641">
        <v>77320.58</v>
      </c>
      <c r="I1641">
        <v>0</v>
      </c>
      <c r="J1641">
        <v>77320.58</v>
      </c>
      <c r="K1641">
        <v>0</v>
      </c>
      <c r="L1641">
        <v>0</v>
      </c>
    </row>
    <row r="1642" spans="1:12" x14ac:dyDescent="0.25">
      <c r="A1642" t="str">
        <f t="shared" si="25"/>
        <v>9001102091052026M02</v>
      </c>
      <c r="B1642">
        <v>51321001</v>
      </c>
      <c r="C1642">
        <v>20</v>
      </c>
      <c r="D1642">
        <v>900110</v>
      </c>
      <c r="E1642">
        <v>209105</v>
      </c>
      <c r="F1642" t="s">
        <v>115</v>
      </c>
      <c r="G1642" t="s">
        <v>64</v>
      </c>
      <c r="H1642">
        <v>57109.55</v>
      </c>
      <c r="I1642">
        <v>57109.55</v>
      </c>
      <c r="J1642">
        <v>0</v>
      </c>
      <c r="K1642">
        <v>0</v>
      </c>
      <c r="L1642">
        <v>0</v>
      </c>
    </row>
    <row r="1643" spans="1:12" x14ac:dyDescent="0.25">
      <c r="A1643" t="str">
        <f t="shared" si="25"/>
        <v>9001102091052026M03</v>
      </c>
      <c r="B1643">
        <v>51321001</v>
      </c>
      <c r="C1643">
        <v>20</v>
      </c>
      <c r="D1643">
        <v>900110</v>
      </c>
      <c r="E1643">
        <v>209105</v>
      </c>
      <c r="F1643" t="s">
        <v>115</v>
      </c>
      <c r="G1643" t="s">
        <v>65</v>
      </c>
      <c r="H1643">
        <v>57109.55</v>
      </c>
      <c r="I1643">
        <v>57109.55</v>
      </c>
      <c r="J1643">
        <v>0</v>
      </c>
      <c r="K1643">
        <v>0</v>
      </c>
      <c r="L1643">
        <v>0</v>
      </c>
    </row>
    <row r="1644" spans="1:12" x14ac:dyDescent="0.25">
      <c r="A1644" t="str">
        <f t="shared" si="25"/>
        <v>9001102091052026M04</v>
      </c>
      <c r="B1644">
        <v>51321001</v>
      </c>
      <c r="C1644">
        <v>20</v>
      </c>
      <c r="D1644">
        <v>900110</v>
      </c>
      <c r="E1644">
        <v>209105</v>
      </c>
      <c r="F1644" t="s">
        <v>115</v>
      </c>
      <c r="G1644" t="s">
        <v>66</v>
      </c>
      <c r="H1644">
        <v>57109.55</v>
      </c>
      <c r="I1644">
        <v>57109.55</v>
      </c>
      <c r="J1644">
        <v>0</v>
      </c>
      <c r="K1644">
        <v>0</v>
      </c>
      <c r="L1644">
        <v>0</v>
      </c>
    </row>
    <row r="1645" spans="1:12" x14ac:dyDescent="0.25">
      <c r="A1645" t="str">
        <f t="shared" si="25"/>
        <v>9001102091052026M05</v>
      </c>
      <c r="B1645">
        <v>51321001</v>
      </c>
      <c r="C1645">
        <v>20</v>
      </c>
      <c r="D1645">
        <v>900110</v>
      </c>
      <c r="E1645">
        <v>209105</v>
      </c>
      <c r="F1645" t="s">
        <v>115</v>
      </c>
      <c r="G1645" t="s">
        <v>67</v>
      </c>
      <c r="H1645">
        <v>57109.55</v>
      </c>
      <c r="I1645">
        <v>57109.55</v>
      </c>
      <c r="J1645">
        <v>0</v>
      </c>
      <c r="K1645">
        <v>0</v>
      </c>
      <c r="L1645">
        <v>0</v>
      </c>
    </row>
    <row r="1646" spans="1:12" x14ac:dyDescent="0.25">
      <c r="A1646" t="str">
        <f t="shared" si="25"/>
        <v>9001102091052026M06</v>
      </c>
      <c r="B1646">
        <v>51321001</v>
      </c>
      <c r="C1646">
        <v>20</v>
      </c>
      <c r="D1646">
        <v>900110</v>
      </c>
      <c r="E1646">
        <v>209105</v>
      </c>
      <c r="F1646" t="s">
        <v>115</v>
      </c>
      <c r="G1646" t="s">
        <v>68</v>
      </c>
      <c r="H1646">
        <v>79953.39</v>
      </c>
      <c r="I1646">
        <v>79953.39</v>
      </c>
      <c r="J1646">
        <v>0</v>
      </c>
      <c r="K1646">
        <v>0</v>
      </c>
      <c r="L1646">
        <v>0</v>
      </c>
    </row>
    <row r="1647" spans="1:12" x14ac:dyDescent="0.25">
      <c r="A1647" t="str">
        <f t="shared" si="25"/>
        <v>9001102091052026M07</v>
      </c>
      <c r="B1647">
        <v>51321001</v>
      </c>
      <c r="C1647">
        <v>20</v>
      </c>
      <c r="D1647">
        <v>900110</v>
      </c>
      <c r="E1647">
        <v>209105</v>
      </c>
      <c r="F1647" t="s">
        <v>115</v>
      </c>
      <c r="G1647" t="s">
        <v>69</v>
      </c>
      <c r="H1647">
        <v>68531.460000000006</v>
      </c>
      <c r="I1647">
        <v>68531.460000000006</v>
      </c>
      <c r="J1647">
        <v>0</v>
      </c>
      <c r="K1647">
        <v>0</v>
      </c>
      <c r="L1647">
        <v>0</v>
      </c>
    </row>
    <row r="1648" spans="1:12" x14ac:dyDescent="0.25">
      <c r="A1648" t="str">
        <f t="shared" si="25"/>
        <v>9001102091052026M08</v>
      </c>
      <c r="B1648">
        <v>51321001</v>
      </c>
      <c r="C1648">
        <v>20</v>
      </c>
      <c r="D1648">
        <v>900110</v>
      </c>
      <c r="E1648">
        <v>209105</v>
      </c>
      <c r="F1648" t="s">
        <v>115</v>
      </c>
      <c r="G1648" t="s">
        <v>70</v>
      </c>
      <c r="H1648">
        <v>68531.460000000006</v>
      </c>
      <c r="I1648">
        <v>68531.460000000006</v>
      </c>
      <c r="J1648">
        <v>0</v>
      </c>
      <c r="K1648">
        <v>0</v>
      </c>
      <c r="L1648">
        <v>0</v>
      </c>
    </row>
    <row r="1649" spans="1:12" x14ac:dyDescent="0.25">
      <c r="A1649" t="str">
        <f t="shared" si="25"/>
        <v>9001102091052026M09</v>
      </c>
      <c r="B1649">
        <v>51321001</v>
      </c>
      <c r="C1649">
        <v>20</v>
      </c>
      <c r="D1649">
        <v>900110</v>
      </c>
      <c r="E1649">
        <v>209105</v>
      </c>
      <c r="F1649" t="s">
        <v>115</v>
      </c>
      <c r="G1649" t="s">
        <v>71</v>
      </c>
      <c r="H1649">
        <v>68531.460000000006</v>
      </c>
      <c r="I1649">
        <v>68531.460000000006</v>
      </c>
      <c r="J1649">
        <v>0</v>
      </c>
      <c r="K1649">
        <v>0</v>
      </c>
      <c r="L1649">
        <v>0</v>
      </c>
    </row>
    <row r="1650" spans="1:12" x14ac:dyDescent="0.25">
      <c r="A1650" t="str">
        <f t="shared" si="25"/>
        <v>9001102091052026M10</v>
      </c>
      <c r="B1650">
        <v>51321001</v>
      </c>
      <c r="C1650">
        <v>20</v>
      </c>
      <c r="D1650">
        <v>900110</v>
      </c>
      <c r="E1650">
        <v>209105</v>
      </c>
      <c r="F1650" t="s">
        <v>115</v>
      </c>
      <c r="G1650" t="s">
        <v>72</v>
      </c>
      <c r="H1650">
        <v>68536.03</v>
      </c>
      <c r="I1650">
        <v>68531.460000000006</v>
      </c>
      <c r="J1650">
        <v>0.83</v>
      </c>
      <c r="K1650">
        <v>0</v>
      </c>
      <c r="L1650">
        <v>3.74</v>
      </c>
    </row>
    <row r="1651" spans="1:12" x14ac:dyDescent="0.25">
      <c r="A1651" t="str">
        <f t="shared" si="25"/>
        <v>9001102091052026M11</v>
      </c>
      <c r="B1651">
        <v>51321001</v>
      </c>
      <c r="C1651">
        <v>20</v>
      </c>
      <c r="D1651">
        <v>900110</v>
      </c>
      <c r="E1651">
        <v>209105</v>
      </c>
      <c r="F1651" t="s">
        <v>115</v>
      </c>
      <c r="G1651" t="s">
        <v>73</v>
      </c>
      <c r="H1651">
        <v>68532</v>
      </c>
      <c r="I1651">
        <v>0</v>
      </c>
      <c r="J1651">
        <v>68531.58</v>
      </c>
      <c r="K1651">
        <v>0</v>
      </c>
      <c r="L1651">
        <v>0.42</v>
      </c>
    </row>
    <row r="1652" spans="1:12" x14ac:dyDescent="0.25">
      <c r="A1652" t="str">
        <f t="shared" si="25"/>
        <v>9001102091052026M12</v>
      </c>
      <c r="B1652">
        <v>51321001</v>
      </c>
      <c r="C1652">
        <v>20</v>
      </c>
      <c r="D1652">
        <v>900110</v>
      </c>
      <c r="E1652">
        <v>209105</v>
      </c>
      <c r="F1652" t="s">
        <v>115</v>
      </c>
      <c r="G1652" t="s">
        <v>74</v>
      </c>
      <c r="H1652">
        <v>137064</v>
      </c>
      <c r="I1652">
        <v>0</v>
      </c>
      <c r="J1652">
        <v>137063.16</v>
      </c>
      <c r="K1652">
        <v>0</v>
      </c>
      <c r="L1652">
        <v>0.84</v>
      </c>
    </row>
    <row r="1653" spans="1:12" x14ac:dyDescent="0.25">
      <c r="A1653" t="str">
        <f t="shared" si="25"/>
        <v>9001102091062026M02</v>
      </c>
      <c r="B1653">
        <v>51321001</v>
      </c>
      <c r="C1653">
        <v>20</v>
      </c>
      <c r="D1653">
        <v>900110</v>
      </c>
      <c r="E1653">
        <v>209106</v>
      </c>
      <c r="F1653" t="s">
        <v>115</v>
      </c>
      <c r="G1653" t="s">
        <v>64</v>
      </c>
      <c r="H1653">
        <v>111708</v>
      </c>
      <c r="I1653">
        <v>111708</v>
      </c>
      <c r="J1653">
        <v>0</v>
      </c>
      <c r="K1653">
        <v>0</v>
      </c>
      <c r="L1653">
        <v>0</v>
      </c>
    </row>
    <row r="1654" spans="1:12" x14ac:dyDescent="0.25">
      <c r="A1654" t="str">
        <f t="shared" si="25"/>
        <v>9001102091062026M03</v>
      </c>
      <c r="B1654">
        <v>51321001</v>
      </c>
      <c r="C1654">
        <v>20</v>
      </c>
      <c r="D1654">
        <v>900110</v>
      </c>
      <c r="E1654">
        <v>209106</v>
      </c>
      <c r="F1654" t="s">
        <v>115</v>
      </c>
      <c r="G1654" t="s">
        <v>65</v>
      </c>
      <c r="H1654">
        <v>111708</v>
      </c>
      <c r="I1654">
        <v>111708</v>
      </c>
      <c r="J1654">
        <v>0</v>
      </c>
      <c r="K1654">
        <v>0</v>
      </c>
      <c r="L1654">
        <v>0</v>
      </c>
    </row>
    <row r="1655" spans="1:12" x14ac:dyDescent="0.25">
      <c r="A1655" t="str">
        <f t="shared" si="25"/>
        <v>9001102091062026M04</v>
      </c>
      <c r="B1655">
        <v>51321001</v>
      </c>
      <c r="C1655">
        <v>20</v>
      </c>
      <c r="D1655">
        <v>900110</v>
      </c>
      <c r="E1655">
        <v>209106</v>
      </c>
      <c r="F1655" t="s">
        <v>115</v>
      </c>
      <c r="G1655" t="s">
        <v>66</v>
      </c>
      <c r="H1655">
        <v>111708</v>
      </c>
      <c r="I1655">
        <v>111708</v>
      </c>
      <c r="J1655">
        <v>0</v>
      </c>
      <c r="K1655">
        <v>0</v>
      </c>
      <c r="L1655">
        <v>0</v>
      </c>
    </row>
    <row r="1656" spans="1:12" x14ac:dyDescent="0.25">
      <c r="A1656" t="str">
        <f t="shared" si="25"/>
        <v>9001102091062026M05</v>
      </c>
      <c r="B1656">
        <v>51321001</v>
      </c>
      <c r="C1656">
        <v>20</v>
      </c>
      <c r="D1656">
        <v>900110</v>
      </c>
      <c r="E1656">
        <v>209106</v>
      </c>
      <c r="F1656" t="s">
        <v>115</v>
      </c>
      <c r="G1656" t="s">
        <v>67</v>
      </c>
      <c r="H1656">
        <v>111708</v>
      </c>
      <c r="I1656">
        <v>111708</v>
      </c>
      <c r="J1656">
        <v>0</v>
      </c>
      <c r="K1656">
        <v>0</v>
      </c>
      <c r="L1656">
        <v>0</v>
      </c>
    </row>
    <row r="1657" spans="1:12" x14ac:dyDescent="0.25">
      <c r="A1657" t="str">
        <f t="shared" si="25"/>
        <v>9001102091062026M06</v>
      </c>
      <c r="B1657">
        <v>51321001</v>
      </c>
      <c r="C1657">
        <v>20</v>
      </c>
      <c r="D1657">
        <v>900110</v>
      </c>
      <c r="E1657">
        <v>209106</v>
      </c>
      <c r="F1657" t="s">
        <v>115</v>
      </c>
      <c r="G1657" t="s">
        <v>68</v>
      </c>
      <c r="H1657">
        <v>111708</v>
      </c>
      <c r="I1657">
        <v>111708</v>
      </c>
      <c r="J1657">
        <v>0</v>
      </c>
      <c r="K1657">
        <v>0</v>
      </c>
      <c r="L1657">
        <v>0</v>
      </c>
    </row>
    <row r="1658" spans="1:12" x14ac:dyDescent="0.25">
      <c r="A1658" t="str">
        <f t="shared" si="25"/>
        <v>9001102091062026M07</v>
      </c>
      <c r="B1658">
        <v>51321001</v>
      </c>
      <c r="C1658">
        <v>20</v>
      </c>
      <c r="D1658">
        <v>900110</v>
      </c>
      <c r="E1658">
        <v>209106</v>
      </c>
      <c r="F1658" t="s">
        <v>115</v>
      </c>
      <c r="G1658" t="s">
        <v>69</v>
      </c>
      <c r="H1658">
        <v>111708</v>
      </c>
      <c r="I1658">
        <v>111708</v>
      </c>
      <c r="J1658">
        <v>0</v>
      </c>
      <c r="K1658">
        <v>0</v>
      </c>
      <c r="L1658">
        <v>0</v>
      </c>
    </row>
    <row r="1659" spans="1:12" x14ac:dyDescent="0.25">
      <c r="A1659" t="str">
        <f t="shared" si="25"/>
        <v>9001102091062026M08</v>
      </c>
      <c r="B1659">
        <v>51321001</v>
      </c>
      <c r="C1659">
        <v>20</v>
      </c>
      <c r="D1659">
        <v>900110</v>
      </c>
      <c r="E1659">
        <v>209106</v>
      </c>
      <c r="F1659" t="s">
        <v>115</v>
      </c>
      <c r="G1659" t="s">
        <v>70</v>
      </c>
      <c r="H1659">
        <v>111708</v>
      </c>
      <c r="I1659">
        <v>111708</v>
      </c>
      <c r="J1659">
        <v>0</v>
      </c>
      <c r="K1659">
        <v>0</v>
      </c>
      <c r="L1659">
        <v>0</v>
      </c>
    </row>
    <row r="1660" spans="1:12" x14ac:dyDescent="0.25">
      <c r="A1660" t="str">
        <f t="shared" si="25"/>
        <v>9001102091062026M09</v>
      </c>
      <c r="B1660">
        <v>51321001</v>
      </c>
      <c r="C1660">
        <v>20</v>
      </c>
      <c r="D1660">
        <v>900110</v>
      </c>
      <c r="E1660">
        <v>209106</v>
      </c>
      <c r="F1660" t="s">
        <v>115</v>
      </c>
      <c r="G1660" t="s">
        <v>71</v>
      </c>
      <c r="H1660">
        <v>111708</v>
      </c>
      <c r="I1660">
        <v>111708</v>
      </c>
      <c r="J1660">
        <v>0</v>
      </c>
      <c r="K1660">
        <v>0</v>
      </c>
      <c r="L1660">
        <v>0</v>
      </c>
    </row>
    <row r="1661" spans="1:12" x14ac:dyDescent="0.25">
      <c r="A1661" t="str">
        <f t="shared" si="25"/>
        <v>9001102091062026M10</v>
      </c>
      <c r="B1661">
        <v>51321001</v>
      </c>
      <c r="C1661">
        <v>20</v>
      </c>
      <c r="D1661">
        <v>900110</v>
      </c>
      <c r="E1661">
        <v>209106</v>
      </c>
      <c r="F1661" t="s">
        <v>115</v>
      </c>
      <c r="G1661" t="s">
        <v>72</v>
      </c>
      <c r="H1661">
        <v>111708</v>
      </c>
      <c r="I1661">
        <v>111708</v>
      </c>
      <c r="J1661">
        <v>0</v>
      </c>
      <c r="K1661">
        <v>0</v>
      </c>
      <c r="L1661">
        <v>0</v>
      </c>
    </row>
    <row r="1662" spans="1:12" x14ac:dyDescent="0.25">
      <c r="A1662" t="str">
        <f t="shared" si="25"/>
        <v>9001102091062026M11</v>
      </c>
      <c r="B1662">
        <v>51321001</v>
      </c>
      <c r="C1662">
        <v>20</v>
      </c>
      <c r="D1662">
        <v>900110</v>
      </c>
      <c r="E1662">
        <v>209106</v>
      </c>
      <c r="F1662" t="s">
        <v>115</v>
      </c>
      <c r="G1662" t="s">
        <v>73</v>
      </c>
      <c r="H1662">
        <v>111708</v>
      </c>
      <c r="I1662">
        <v>0</v>
      </c>
      <c r="J1662">
        <v>111708</v>
      </c>
      <c r="K1662">
        <v>0</v>
      </c>
      <c r="L1662">
        <v>0</v>
      </c>
    </row>
    <row r="1663" spans="1:12" x14ac:dyDescent="0.25">
      <c r="A1663" t="str">
        <f t="shared" si="25"/>
        <v>9001102091062026M12</v>
      </c>
      <c r="B1663">
        <v>51321001</v>
      </c>
      <c r="C1663">
        <v>20</v>
      </c>
      <c r="D1663">
        <v>900110</v>
      </c>
      <c r="E1663">
        <v>209106</v>
      </c>
      <c r="F1663" t="s">
        <v>115</v>
      </c>
      <c r="G1663" t="s">
        <v>74</v>
      </c>
      <c r="H1663">
        <v>223416</v>
      </c>
      <c r="I1663">
        <v>0</v>
      </c>
      <c r="J1663">
        <v>223416</v>
      </c>
      <c r="K1663">
        <v>0</v>
      </c>
      <c r="L1663">
        <v>0</v>
      </c>
    </row>
    <row r="1664" spans="1:12" x14ac:dyDescent="0.25">
      <c r="A1664" t="str">
        <f t="shared" si="25"/>
        <v>9202012080022026M02</v>
      </c>
      <c r="B1664">
        <v>51321001</v>
      </c>
      <c r="C1664">
        <v>20</v>
      </c>
      <c r="D1664">
        <v>920201</v>
      </c>
      <c r="E1664">
        <v>208002</v>
      </c>
      <c r="F1664" t="s">
        <v>115</v>
      </c>
      <c r="G1664" t="s">
        <v>64</v>
      </c>
      <c r="H1664">
        <v>0</v>
      </c>
      <c r="I1664">
        <v>0</v>
      </c>
      <c r="J1664">
        <v>0</v>
      </c>
      <c r="K1664">
        <v>0</v>
      </c>
      <c r="L1664">
        <v>0</v>
      </c>
    </row>
    <row r="1665" spans="1:12" x14ac:dyDescent="0.25">
      <c r="A1665" t="str">
        <f t="shared" si="25"/>
        <v>9202012080022026M03</v>
      </c>
      <c r="B1665">
        <v>51321001</v>
      </c>
      <c r="C1665">
        <v>20</v>
      </c>
      <c r="D1665">
        <v>920201</v>
      </c>
      <c r="E1665">
        <v>208002</v>
      </c>
      <c r="F1665" t="s">
        <v>115</v>
      </c>
      <c r="G1665" t="s">
        <v>65</v>
      </c>
      <c r="H1665">
        <v>0</v>
      </c>
      <c r="I1665">
        <v>0</v>
      </c>
      <c r="J1665">
        <v>0</v>
      </c>
      <c r="K1665">
        <v>0</v>
      </c>
      <c r="L1665">
        <v>0</v>
      </c>
    </row>
    <row r="1666" spans="1:12" x14ac:dyDescent="0.25">
      <c r="A1666" t="str">
        <f t="shared" si="25"/>
        <v>9202012080022026M04</v>
      </c>
      <c r="B1666">
        <v>51321001</v>
      </c>
      <c r="C1666">
        <v>20</v>
      </c>
      <c r="D1666">
        <v>920201</v>
      </c>
      <c r="E1666">
        <v>208002</v>
      </c>
      <c r="F1666" t="s">
        <v>115</v>
      </c>
      <c r="G1666" t="s">
        <v>66</v>
      </c>
      <c r="H1666">
        <v>0</v>
      </c>
      <c r="I1666">
        <v>0</v>
      </c>
      <c r="J1666">
        <v>0</v>
      </c>
      <c r="K1666">
        <v>0</v>
      </c>
      <c r="L1666">
        <v>0</v>
      </c>
    </row>
    <row r="1667" spans="1:12" x14ac:dyDescent="0.25">
      <c r="A1667" t="str">
        <f t="shared" si="25"/>
        <v>9202012080022026M05</v>
      </c>
      <c r="B1667">
        <v>51321001</v>
      </c>
      <c r="C1667">
        <v>20</v>
      </c>
      <c r="D1667">
        <v>920201</v>
      </c>
      <c r="E1667">
        <v>208002</v>
      </c>
      <c r="F1667" t="s">
        <v>115</v>
      </c>
      <c r="G1667" t="s">
        <v>67</v>
      </c>
      <c r="H1667">
        <v>0</v>
      </c>
      <c r="I1667">
        <v>0</v>
      </c>
      <c r="J1667">
        <v>0</v>
      </c>
      <c r="K1667">
        <v>0</v>
      </c>
      <c r="L1667">
        <v>0</v>
      </c>
    </row>
    <row r="1668" spans="1:12" x14ac:dyDescent="0.25">
      <c r="A1668" t="str">
        <f t="shared" si="25"/>
        <v>9202012080022026M06</v>
      </c>
      <c r="B1668">
        <v>51321001</v>
      </c>
      <c r="C1668">
        <v>20</v>
      </c>
      <c r="D1668">
        <v>920201</v>
      </c>
      <c r="E1668">
        <v>208002</v>
      </c>
      <c r="F1668" t="s">
        <v>115</v>
      </c>
      <c r="G1668" t="s">
        <v>68</v>
      </c>
      <c r="H1668">
        <v>0</v>
      </c>
      <c r="I1668">
        <v>0</v>
      </c>
      <c r="J1668">
        <v>0</v>
      </c>
      <c r="K1668">
        <v>0</v>
      </c>
      <c r="L1668">
        <v>0</v>
      </c>
    </row>
    <row r="1669" spans="1:12" x14ac:dyDescent="0.25">
      <c r="A1669" t="str">
        <f t="shared" si="25"/>
        <v>9202012080022026M07</v>
      </c>
      <c r="B1669">
        <v>51321001</v>
      </c>
      <c r="C1669">
        <v>20</v>
      </c>
      <c r="D1669">
        <v>920201</v>
      </c>
      <c r="E1669">
        <v>208002</v>
      </c>
      <c r="F1669" t="s">
        <v>115</v>
      </c>
      <c r="G1669" t="s">
        <v>69</v>
      </c>
      <c r="H1669">
        <v>0</v>
      </c>
      <c r="I1669">
        <v>0</v>
      </c>
      <c r="J1669">
        <v>0</v>
      </c>
      <c r="K1669">
        <v>0</v>
      </c>
      <c r="L1669">
        <v>0</v>
      </c>
    </row>
    <row r="1670" spans="1:12" x14ac:dyDescent="0.25">
      <c r="A1670" t="str">
        <f t="shared" si="25"/>
        <v>9202012080022026M08</v>
      </c>
      <c r="B1670">
        <v>51321001</v>
      </c>
      <c r="C1670">
        <v>20</v>
      </c>
      <c r="D1670">
        <v>920201</v>
      </c>
      <c r="E1670">
        <v>208002</v>
      </c>
      <c r="F1670" t="s">
        <v>115</v>
      </c>
      <c r="G1670" t="s">
        <v>70</v>
      </c>
      <c r="H1670">
        <v>0</v>
      </c>
      <c r="I1670">
        <v>0</v>
      </c>
      <c r="J1670">
        <v>0</v>
      </c>
      <c r="K1670">
        <v>0</v>
      </c>
      <c r="L1670">
        <v>0</v>
      </c>
    </row>
    <row r="1671" spans="1:12" x14ac:dyDescent="0.25">
      <c r="A1671" t="str">
        <f t="shared" si="25"/>
        <v>9202012080022026M09</v>
      </c>
      <c r="B1671">
        <v>51321001</v>
      </c>
      <c r="C1671">
        <v>20</v>
      </c>
      <c r="D1671">
        <v>920201</v>
      </c>
      <c r="E1671">
        <v>208002</v>
      </c>
      <c r="F1671" t="s">
        <v>115</v>
      </c>
      <c r="G1671" t="s">
        <v>71</v>
      </c>
      <c r="H1671">
        <v>0</v>
      </c>
      <c r="I1671">
        <v>0</v>
      </c>
      <c r="J1671">
        <v>0</v>
      </c>
      <c r="K1671">
        <v>0</v>
      </c>
      <c r="L1671">
        <v>0</v>
      </c>
    </row>
    <row r="1672" spans="1:12" x14ac:dyDescent="0.25">
      <c r="A1672" t="str">
        <f t="shared" si="25"/>
        <v>9202012080022026M10</v>
      </c>
      <c r="B1672">
        <v>51321001</v>
      </c>
      <c r="C1672">
        <v>20</v>
      </c>
      <c r="D1672">
        <v>920201</v>
      </c>
      <c r="E1672">
        <v>208002</v>
      </c>
      <c r="F1672" t="s">
        <v>115</v>
      </c>
      <c r="G1672" t="s">
        <v>72</v>
      </c>
      <c r="H1672">
        <v>0</v>
      </c>
      <c r="I1672">
        <v>0</v>
      </c>
      <c r="J1672">
        <v>0</v>
      </c>
      <c r="K1672">
        <v>0</v>
      </c>
      <c r="L1672">
        <v>0</v>
      </c>
    </row>
    <row r="1673" spans="1:12" x14ac:dyDescent="0.25">
      <c r="A1673" t="str">
        <f t="shared" si="25"/>
        <v>9202012080022026M11</v>
      </c>
      <c r="B1673">
        <v>51321001</v>
      </c>
      <c r="C1673">
        <v>20</v>
      </c>
      <c r="D1673">
        <v>920201</v>
      </c>
      <c r="E1673">
        <v>208002</v>
      </c>
      <c r="F1673" t="s">
        <v>115</v>
      </c>
      <c r="G1673" t="s">
        <v>73</v>
      </c>
      <c r="H1673">
        <v>0</v>
      </c>
      <c r="I1673">
        <v>0</v>
      </c>
      <c r="J1673">
        <v>0</v>
      </c>
      <c r="K1673">
        <v>0</v>
      </c>
      <c r="L1673">
        <v>0</v>
      </c>
    </row>
    <row r="1674" spans="1:12" x14ac:dyDescent="0.25">
      <c r="A1674" t="str">
        <f t="shared" si="25"/>
        <v>9202012080022026M12</v>
      </c>
      <c r="B1674">
        <v>51321001</v>
      </c>
      <c r="C1674">
        <v>20</v>
      </c>
      <c r="D1674">
        <v>920201</v>
      </c>
      <c r="E1674">
        <v>208002</v>
      </c>
      <c r="F1674" t="s">
        <v>115</v>
      </c>
      <c r="G1674" t="s">
        <v>74</v>
      </c>
      <c r="H1674">
        <v>0</v>
      </c>
      <c r="I1674">
        <v>0</v>
      </c>
      <c r="J1674">
        <v>0</v>
      </c>
      <c r="K1674">
        <v>0</v>
      </c>
      <c r="L1674">
        <v>0</v>
      </c>
    </row>
    <row r="1675" spans="1:12" x14ac:dyDescent="0.25">
      <c r="A1675" t="str">
        <f t="shared" ref="A1675:A1738" si="26">D1675&amp;E1675&amp;G1675</f>
        <v>501002190012026M02</v>
      </c>
      <c r="B1675">
        <v>51321001</v>
      </c>
      <c r="C1675">
        <v>21</v>
      </c>
      <c r="D1675">
        <v>50100</v>
      </c>
      <c r="E1675">
        <v>219001</v>
      </c>
      <c r="F1675" t="s">
        <v>115</v>
      </c>
      <c r="G1675" t="s">
        <v>64</v>
      </c>
      <c r="H1675">
        <v>0</v>
      </c>
      <c r="I1675">
        <v>0</v>
      </c>
      <c r="J1675">
        <v>0</v>
      </c>
      <c r="K1675">
        <v>0</v>
      </c>
      <c r="L1675">
        <v>0</v>
      </c>
    </row>
    <row r="1676" spans="1:12" x14ac:dyDescent="0.25">
      <c r="A1676" t="str">
        <f t="shared" si="26"/>
        <v>501002190012026M03</v>
      </c>
      <c r="B1676">
        <v>51321001</v>
      </c>
      <c r="C1676">
        <v>21</v>
      </c>
      <c r="D1676">
        <v>50100</v>
      </c>
      <c r="E1676">
        <v>219001</v>
      </c>
      <c r="F1676" t="s">
        <v>115</v>
      </c>
      <c r="G1676" t="s">
        <v>65</v>
      </c>
      <c r="H1676">
        <v>51000</v>
      </c>
      <c r="I1676">
        <v>51000</v>
      </c>
      <c r="J1676">
        <v>0</v>
      </c>
      <c r="K1676">
        <v>0</v>
      </c>
      <c r="L1676">
        <v>0</v>
      </c>
    </row>
    <row r="1677" spans="1:12" x14ac:dyDescent="0.25">
      <c r="A1677" t="str">
        <f t="shared" si="26"/>
        <v>501002190012026M04</v>
      </c>
      <c r="B1677">
        <v>51321001</v>
      </c>
      <c r="C1677">
        <v>21</v>
      </c>
      <c r="D1677">
        <v>50100</v>
      </c>
      <c r="E1677">
        <v>219001</v>
      </c>
      <c r="F1677" t="s">
        <v>115</v>
      </c>
      <c r="G1677" t="s">
        <v>66</v>
      </c>
      <c r="H1677">
        <v>25500</v>
      </c>
      <c r="I1677">
        <v>25500</v>
      </c>
      <c r="J1677">
        <v>0</v>
      </c>
      <c r="K1677">
        <v>0</v>
      </c>
      <c r="L1677">
        <v>0</v>
      </c>
    </row>
    <row r="1678" spans="1:12" x14ac:dyDescent="0.25">
      <c r="A1678" t="str">
        <f t="shared" si="26"/>
        <v>501002190012026M05</v>
      </c>
      <c r="B1678">
        <v>51321001</v>
      </c>
      <c r="C1678">
        <v>21</v>
      </c>
      <c r="D1678">
        <v>50100</v>
      </c>
      <c r="E1678">
        <v>219001</v>
      </c>
      <c r="F1678" t="s">
        <v>115</v>
      </c>
      <c r="G1678" t="s">
        <v>67</v>
      </c>
      <c r="H1678">
        <v>25500</v>
      </c>
      <c r="I1678">
        <v>25500</v>
      </c>
      <c r="J1678">
        <v>0</v>
      </c>
      <c r="K1678">
        <v>0</v>
      </c>
      <c r="L1678">
        <v>0</v>
      </c>
    </row>
    <row r="1679" spans="1:12" x14ac:dyDescent="0.25">
      <c r="A1679" t="str">
        <f t="shared" si="26"/>
        <v>501002190012026M06</v>
      </c>
      <c r="B1679">
        <v>51321001</v>
      </c>
      <c r="C1679">
        <v>21</v>
      </c>
      <c r="D1679">
        <v>50100</v>
      </c>
      <c r="E1679">
        <v>219001</v>
      </c>
      <c r="F1679" t="s">
        <v>115</v>
      </c>
      <c r="G1679" t="s">
        <v>68</v>
      </c>
      <c r="H1679">
        <v>25500</v>
      </c>
      <c r="I1679">
        <v>25500</v>
      </c>
      <c r="J1679">
        <v>0</v>
      </c>
      <c r="K1679">
        <v>0</v>
      </c>
      <c r="L1679">
        <v>0</v>
      </c>
    </row>
    <row r="1680" spans="1:12" x14ac:dyDescent="0.25">
      <c r="A1680" t="str">
        <f t="shared" si="26"/>
        <v>501002190012026M07</v>
      </c>
      <c r="B1680">
        <v>51321001</v>
      </c>
      <c r="C1680">
        <v>21</v>
      </c>
      <c r="D1680">
        <v>50100</v>
      </c>
      <c r="E1680">
        <v>219001</v>
      </c>
      <c r="F1680" t="s">
        <v>115</v>
      </c>
      <c r="G1680" t="s">
        <v>69</v>
      </c>
      <c r="H1680">
        <v>25500</v>
      </c>
      <c r="I1680">
        <v>25500</v>
      </c>
      <c r="J1680">
        <v>0</v>
      </c>
      <c r="K1680">
        <v>0</v>
      </c>
      <c r="L1680">
        <v>0</v>
      </c>
    </row>
    <row r="1681" spans="1:12" x14ac:dyDescent="0.25">
      <c r="A1681" t="str">
        <f t="shared" si="26"/>
        <v>501002190012026M08</v>
      </c>
      <c r="B1681">
        <v>51321001</v>
      </c>
      <c r="C1681">
        <v>21</v>
      </c>
      <c r="D1681">
        <v>50100</v>
      </c>
      <c r="E1681">
        <v>219001</v>
      </c>
      <c r="F1681" t="s">
        <v>115</v>
      </c>
      <c r="G1681" t="s">
        <v>70</v>
      </c>
      <c r="H1681">
        <v>25500</v>
      </c>
      <c r="I1681">
        <v>25500</v>
      </c>
      <c r="J1681">
        <v>0</v>
      </c>
      <c r="K1681">
        <v>0</v>
      </c>
      <c r="L1681">
        <v>0</v>
      </c>
    </row>
    <row r="1682" spans="1:12" x14ac:dyDescent="0.25">
      <c r="A1682" t="str">
        <f t="shared" si="26"/>
        <v>501002190012026M09</v>
      </c>
      <c r="B1682">
        <v>51321001</v>
      </c>
      <c r="C1682">
        <v>21</v>
      </c>
      <c r="D1682">
        <v>50100</v>
      </c>
      <c r="E1682">
        <v>219001</v>
      </c>
      <c r="F1682" t="s">
        <v>115</v>
      </c>
      <c r="G1682" t="s">
        <v>71</v>
      </c>
      <c r="H1682">
        <v>25500</v>
      </c>
      <c r="I1682">
        <v>25500</v>
      </c>
      <c r="J1682">
        <v>0</v>
      </c>
      <c r="K1682">
        <v>0</v>
      </c>
      <c r="L1682">
        <v>0</v>
      </c>
    </row>
    <row r="1683" spans="1:12" x14ac:dyDescent="0.25">
      <c r="A1683" t="str">
        <f t="shared" si="26"/>
        <v>501002190012026M10</v>
      </c>
      <c r="B1683">
        <v>51321001</v>
      </c>
      <c r="C1683">
        <v>21</v>
      </c>
      <c r="D1683">
        <v>50100</v>
      </c>
      <c r="E1683">
        <v>219001</v>
      </c>
      <c r="F1683" t="s">
        <v>115</v>
      </c>
      <c r="G1683" t="s">
        <v>72</v>
      </c>
      <c r="H1683">
        <v>25500</v>
      </c>
      <c r="I1683">
        <v>25500</v>
      </c>
      <c r="J1683">
        <v>0</v>
      </c>
      <c r="K1683">
        <v>0</v>
      </c>
      <c r="L1683">
        <v>0</v>
      </c>
    </row>
    <row r="1684" spans="1:12" x14ac:dyDescent="0.25">
      <c r="A1684" t="str">
        <f t="shared" si="26"/>
        <v>501002190012026M11</v>
      </c>
      <c r="B1684">
        <v>51321001</v>
      </c>
      <c r="C1684">
        <v>21</v>
      </c>
      <c r="D1684">
        <v>50100</v>
      </c>
      <c r="E1684">
        <v>219001</v>
      </c>
      <c r="F1684" t="s">
        <v>115</v>
      </c>
      <c r="G1684" t="s">
        <v>73</v>
      </c>
      <c r="H1684">
        <v>25500</v>
      </c>
      <c r="I1684">
        <v>0</v>
      </c>
      <c r="J1684">
        <v>25500</v>
      </c>
      <c r="K1684">
        <v>0</v>
      </c>
      <c r="L1684">
        <v>0</v>
      </c>
    </row>
    <row r="1685" spans="1:12" x14ac:dyDescent="0.25">
      <c r="A1685" t="str">
        <f t="shared" si="26"/>
        <v>501002190012026M12</v>
      </c>
      <c r="B1685">
        <v>51321001</v>
      </c>
      <c r="C1685">
        <v>21</v>
      </c>
      <c r="D1685">
        <v>50100</v>
      </c>
      <c r="E1685">
        <v>219001</v>
      </c>
      <c r="F1685" t="s">
        <v>115</v>
      </c>
      <c r="G1685" t="s">
        <v>74</v>
      </c>
      <c r="H1685">
        <v>51000</v>
      </c>
      <c r="I1685">
        <v>0</v>
      </c>
      <c r="J1685">
        <v>51000</v>
      </c>
      <c r="K1685">
        <v>0</v>
      </c>
      <c r="L1685">
        <v>0</v>
      </c>
    </row>
    <row r="1686" spans="1:12" x14ac:dyDescent="0.25">
      <c r="A1686" t="str">
        <f t="shared" si="26"/>
        <v>7310021P9012026M02</v>
      </c>
      <c r="B1686">
        <v>51321001</v>
      </c>
      <c r="C1686">
        <v>21</v>
      </c>
      <c r="D1686">
        <v>73100</v>
      </c>
      <c r="E1686" t="s">
        <v>84</v>
      </c>
      <c r="F1686" t="s">
        <v>115</v>
      </c>
      <c r="G1686" t="s">
        <v>64</v>
      </c>
      <c r="H1686">
        <v>0</v>
      </c>
      <c r="I1686">
        <v>0</v>
      </c>
      <c r="J1686">
        <v>0</v>
      </c>
      <c r="K1686">
        <v>0</v>
      </c>
      <c r="L1686">
        <v>0</v>
      </c>
    </row>
    <row r="1687" spans="1:12" x14ac:dyDescent="0.25">
      <c r="A1687" t="str">
        <f t="shared" si="26"/>
        <v>7310021P9012026M03</v>
      </c>
      <c r="B1687">
        <v>51321001</v>
      </c>
      <c r="C1687">
        <v>21</v>
      </c>
      <c r="D1687">
        <v>73100</v>
      </c>
      <c r="E1687" t="s">
        <v>84</v>
      </c>
      <c r="F1687" t="s">
        <v>115</v>
      </c>
      <c r="G1687" t="s">
        <v>65</v>
      </c>
      <c r="H1687">
        <v>0</v>
      </c>
      <c r="I1687">
        <v>0</v>
      </c>
      <c r="J1687">
        <v>0</v>
      </c>
      <c r="K1687">
        <v>0</v>
      </c>
      <c r="L1687">
        <v>0</v>
      </c>
    </row>
    <row r="1688" spans="1:12" x14ac:dyDescent="0.25">
      <c r="A1688" t="str">
        <f t="shared" si="26"/>
        <v>7310021P9012026M04</v>
      </c>
      <c r="B1688">
        <v>51321001</v>
      </c>
      <c r="C1688">
        <v>21</v>
      </c>
      <c r="D1688">
        <v>73100</v>
      </c>
      <c r="E1688" t="s">
        <v>84</v>
      </c>
      <c r="F1688" t="s">
        <v>115</v>
      </c>
      <c r="G1688" t="s">
        <v>66</v>
      </c>
      <c r="H1688">
        <v>0</v>
      </c>
      <c r="I1688">
        <v>0</v>
      </c>
      <c r="J1688">
        <v>0</v>
      </c>
      <c r="K1688">
        <v>0</v>
      </c>
      <c r="L1688">
        <v>0</v>
      </c>
    </row>
    <row r="1689" spans="1:12" x14ac:dyDescent="0.25">
      <c r="A1689" t="str">
        <f t="shared" si="26"/>
        <v>7310021P9012026M05</v>
      </c>
      <c r="B1689">
        <v>51321001</v>
      </c>
      <c r="C1689">
        <v>21</v>
      </c>
      <c r="D1689">
        <v>73100</v>
      </c>
      <c r="E1689" t="s">
        <v>84</v>
      </c>
      <c r="F1689" t="s">
        <v>115</v>
      </c>
      <c r="G1689" t="s">
        <v>67</v>
      </c>
      <c r="H1689">
        <v>0</v>
      </c>
      <c r="I1689">
        <v>0</v>
      </c>
      <c r="J1689">
        <v>0</v>
      </c>
      <c r="K1689">
        <v>0</v>
      </c>
      <c r="L1689">
        <v>0</v>
      </c>
    </row>
    <row r="1690" spans="1:12" x14ac:dyDescent="0.25">
      <c r="A1690" t="str">
        <f t="shared" si="26"/>
        <v>7310021P9012026M06</v>
      </c>
      <c r="B1690">
        <v>51321001</v>
      </c>
      <c r="C1690">
        <v>21</v>
      </c>
      <c r="D1690">
        <v>73100</v>
      </c>
      <c r="E1690" t="s">
        <v>84</v>
      </c>
      <c r="F1690" t="s">
        <v>115</v>
      </c>
      <c r="G1690" t="s">
        <v>68</v>
      </c>
      <c r="H1690">
        <v>0</v>
      </c>
      <c r="I1690">
        <v>0</v>
      </c>
      <c r="J1690">
        <v>0</v>
      </c>
      <c r="K1690">
        <v>0</v>
      </c>
      <c r="L1690">
        <v>0</v>
      </c>
    </row>
    <row r="1691" spans="1:12" x14ac:dyDescent="0.25">
      <c r="A1691" t="str">
        <f t="shared" si="26"/>
        <v>7310021P9012026M07</v>
      </c>
      <c r="B1691">
        <v>51321001</v>
      </c>
      <c r="C1691">
        <v>21</v>
      </c>
      <c r="D1691">
        <v>73100</v>
      </c>
      <c r="E1691" t="s">
        <v>84</v>
      </c>
      <c r="F1691" t="s">
        <v>115</v>
      </c>
      <c r="G1691" t="s">
        <v>69</v>
      </c>
      <c r="H1691">
        <v>0</v>
      </c>
      <c r="I1691">
        <v>0</v>
      </c>
      <c r="J1691">
        <v>0</v>
      </c>
      <c r="K1691">
        <v>0</v>
      </c>
      <c r="L1691">
        <v>0</v>
      </c>
    </row>
    <row r="1692" spans="1:12" x14ac:dyDescent="0.25">
      <c r="A1692" t="str">
        <f t="shared" si="26"/>
        <v>7310021P9012026M08</v>
      </c>
      <c r="B1692">
        <v>51321001</v>
      </c>
      <c r="C1692">
        <v>21</v>
      </c>
      <c r="D1692">
        <v>73100</v>
      </c>
      <c r="E1692" t="s">
        <v>84</v>
      </c>
      <c r="F1692" t="s">
        <v>115</v>
      </c>
      <c r="G1692" t="s">
        <v>70</v>
      </c>
      <c r="H1692">
        <v>0</v>
      </c>
      <c r="I1692">
        <v>0</v>
      </c>
      <c r="J1692">
        <v>0</v>
      </c>
      <c r="K1692">
        <v>0</v>
      </c>
      <c r="L1692">
        <v>0</v>
      </c>
    </row>
    <row r="1693" spans="1:12" x14ac:dyDescent="0.25">
      <c r="A1693" t="str">
        <f t="shared" si="26"/>
        <v>7310021P9012026M09</v>
      </c>
      <c r="B1693">
        <v>51321001</v>
      </c>
      <c r="C1693">
        <v>21</v>
      </c>
      <c r="D1693">
        <v>73100</v>
      </c>
      <c r="E1693" t="s">
        <v>84</v>
      </c>
      <c r="F1693" t="s">
        <v>115</v>
      </c>
      <c r="G1693" t="s">
        <v>71</v>
      </c>
      <c r="H1693">
        <v>0</v>
      </c>
      <c r="I1693">
        <v>0</v>
      </c>
      <c r="J1693">
        <v>0</v>
      </c>
      <c r="K1693">
        <v>0</v>
      </c>
      <c r="L1693">
        <v>0</v>
      </c>
    </row>
    <row r="1694" spans="1:12" x14ac:dyDescent="0.25">
      <c r="A1694" t="str">
        <f t="shared" si="26"/>
        <v>7310021P9012026M10</v>
      </c>
      <c r="B1694">
        <v>51321001</v>
      </c>
      <c r="C1694">
        <v>21</v>
      </c>
      <c r="D1694">
        <v>73100</v>
      </c>
      <c r="E1694" t="s">
        <v>84</v>
      </c>
      <c r="F1694" t="s">
        <v>115</v>
      </c>
      <c r="G1694" t="s">
        <v>72</v>
      </c>
      <c r="H1694">
        <v>0</v>
      </c>
      <c r="I1694">
        <v>0</v>
      </c>
      <c r="J1694">
        <v>0</v>
      </c>
      <c r="K1694">
        <v>0</v>
      </c>
      <c r="L1694">
        <v>0</v>
      </c>
    </row>
    <row r="1695" spans="1:12" x14ac:dyDescent="0.25">
      <c r="A1695" t="str">
        <f t="shared" si="26"/>
        <v>7310021P9012026M11</v>
      </c>
      <c r="B1695">
        <v>51321001</v>
      </c>
      <c r="C1695">
        <v>21</v>
      </c>
      <c r="D1695">
        <v>73100</v>
      </c>
      <c r="E1695" t="s">
        <v>84</v>
      </c>
      <c r="F1695" t="s">
        <v>115</v>
      </c>
      <c r="G1695" t="s">
        <v>73</v>
      </c>
      <c r="H1695">
        <v>0</v>
      </c>
      <c r="I1695">
        <v>0</v>
      </c>
      <c r="J1695">
        <v>0</v>
      </c>
      <c r="K1695">
        <v>0</v>
      </c>
      <c r="L1695">
        <v>0</v>
      </c>
    </row>
    <row r="1696" spans="1:12" x14ac:dyDescent="0.25">
      <c r="A1696" t="str">
        <f t="shared" si="26"/>
        <v>7310021P9012026M12</v>
      </c>
      <c r="B1696">
        <v>51321001</v>
      </c>
      <c r="C1696">
        <v>21</v>
      </c>
      <c r="D1696">
        <v>73100</v>
      </c>
      <c r="E1696" t="s">
        <v>84</v>
      </c>
      <c r="F1696" t="s">
        <v>115</v>
      </c>
      <c r="G1696" t="s">
        <v>74</v>
      </c>
      <c r="H1696">
        <v>0</v>
      </c>
      <c r="I1696">
        <v>0</v>
      </c>
      <c r="J1696">
        <v>0</v>
      </c>
      <c r="K1696">
        <v>0</v>
      </c>
      <c r="L1696">
        <v>0</v>
      </c>
    </row>
    <row r="1697" spans="1:12" x14ac:dyDescent="0.25">
      <c r="A1697" t="str">
        <f t="shared" si="26"/>
        <v>731102193012026M02</v>
      </c>
      <c r="B1697">
        <v>51321001</v>
      </c>
      <c r="C1697">
        <v>21</v>
      </c>
      <c r="D1697">
        <v>73110</v>
      </c>
      <c r="E1697">
        <v>219301</v>
      </c>
      <c r="F1697" t="s">
        <v>115</v>
      </c>
      <c r="G1697" t="s">
        <v>64</v>
      </c>
      <c r="H1697">
        <v>0</v>
      </c>
      <c r="I1697">
        <v>0</v>
      </c>
      <c r="J1697">
        <v>0</v>
      </c>
      <c r="K1697">
        <v>0</v>
      </c>
      <c r="L1697">
        <v>0</v>
      </c>
    </row>
    <row r="1698" spans="1:12" x14ac:dyDescent="0.25">
      <c r="A1698" t="str">
        <f t="shared" si="26"/>
        <v>731102193012026M03</v>
      </c>
      <c r="B1698">
        <v>51321001</v>
      </c>
      <c r="C1698">
        <v>21</v>
      </c>
      <c r="D1698">
        <v>73110</v>
      </c>
      <c r="E1698">
        <v>219301</v>
      </c>
      <c r="F1698" t="s">
        <v>115</v>
      </c>
      <c r="G1698" t="s">
        <v>65</v>
      </c>
      <c r="H1698">
        <v>0</v>
      </c>
      <c r="I1698">
        <v>0</v>
      </c>
      <c r="J1698">
        <v>0</v>
      </c>
      <c r="K1698">
        <v>0</v>
      </c>
      <c r="L1698">
        <v>0</v>
      </c>
    </row>
    <row r="1699" spans="1:12" x14ac:dyDescent="0.25">
      <c r="A1699" t="str">
        <f t="shared" si="26"/>
        <v>731102193012026M04</v>
      </c>
      <c r="B1699">
        <v>51321001</v>
      </c>
      <c r="C1699">
        <v>21</v>
      </c>
      <c r="D1699">
        <v>73110</v>
      </c>
      <c r="E1699">
        <v>219301</v>
      </c>
      <c r="F1699" t="s">
        <v>115</v>
      </c>
      <c r="G1699" t="s">
        <v>66</v>
      </c>
      <c r="H1699">
        <v>0</v>
      </c>
      <c r="I1699">
        <v>0</v>
      </c>
      <c r="J1699">
        <v>0</v>
      </c>
      <c r="K1699">
        <v>0</v>
      </c>
      <c r="L1699">
        <v>0</v>
      </c>
    </row>
    <row r="1700" spans="1:12" x14ac:dyDescent="0.25">
      <c r="A1700" t="str">
        <f t="shared" si="26"/>
        <v>731102193012026M05</v>
      </c>
      <c r="B1700">
        <v>51321001</v>
      </c>
      <c r="C1700">
        <v>21</v>
      </c>
      <c r="D1700">
        <v>73110</v>
      </c>
      <c r="E1700">
        <v>219301</v>
      </c>
      <c r="F1700" t="s">
        <v>115</v>
      </c>
      <c r="G1700" t="s">
        <v>67</v>
      </c>
      <c r="H1700">
        <v>0</v>
      </c>
      <c r="I1700">
        <v>0</v>
      </c>
      <c r="J1700">
        <v>0</v>
      </c>
      <c r="K1700">
        <v>0</v>
      </c>
      <c r="L1700">
        <v>0</v>
      </c>
    </row>
    <row r="1701" spans="1:12" x14ac:dyDescent="0.25">
      <c r="A1701" t="str">
        <f t="shared" si="26"/>
        <v>731102193012026M06</v>
      </c>
      <c r="B1701">
        <v>51321001</v>
      </c>
      <c r="C1701">
        <v>21</v>
      </c>
      <c r="D1701">
        <v>73110</v>
      </c>
      <c r="E1701">
        <v>219301</v>
      </c>
      <c r="F1701" t="s">
        <v>115</v>
      </c>
      <c r="G1701" t="s">
        <v>68</v>
      </c>
      <c r="H1701">
        <v>0</v>
      </c>
      <c r="I1701">
        <v>0</v>
      </c>
      <c r="J1701">
        <v>0</v>
      </c>
      <c r="K1701">
        <v>0</v>
      </c>
      <c r="L1701">
        <v>0</v>
      </c>
    </row>
    <row r="1702" spans="1:12" x14ac:dyDescent="0.25">
      <c r="A1702" t="str">
        <f t="shared" si="26"/>
        <v>731102193012026M07</v>
      </c>
      <c r="B1702">
        <v>51321001</v>
      </c>
      <c r="C1702">
        <v>21</v>
      </c>
      <c r="D1702">
        <v>73110</v>
      </c>
      <c r="E1702">
        <v>219301</v>
      </c>
      <c r="F1702" t="s">
        <v>115</v>
      </c>
      <c r="G1702" t="s">
        <v>69</v>
      </c>
      <c r="H1702">
        <v>0</v>
      </c>
      <c r="I1702">
        <v>0</v>
      </c>
      <c r="J1702">
        <v>0</v>
      </c>
      <c r="K1702">
        <v>0</v>
      </c>
      <c r="L1702">
        <v>0</v>
      </c>
    </row>
    <row r="1703" spans="1:12" x14ac:dyDescent="0.25">
      <c r="A1703" t="str">
        <f t="shared" si="26"/>
        <v>731102193012026M08</v>
      </c>
      <c r="B1703">
        <v>51321001</v>
      </c>
      <c r="C1703">
        <v>21</v>
      </c>
      <c r="D1703">
        <v>73110</v>
      </c>
      <c r="E1703">
        <v>219301</v>
      </c>
      <c r="F1703" t="s">
        <v>115</v>
      </c>
      <c r="G1703" t="s">
        <v>70</v>
      </c>
      <c r="H1703">
        <v>0</v>
      </c>
      <c r="I1703">
        <v>0</v>
      </c>
      <c r="J1703">
        <v>0</v>
      </c>
      <c r="K1703">
        <v>0</v>
      </c>
      <c r="L1703">
        <v>0</v>
      </c>
    </row>
    <row r="1704" spans="1:12" x14ac:dyDescent="0.25">
      <c r="A1704" t="str">
        <f t="shared" si="26"/>
        <v>731102193012026M09</v>
      </c>
      <c r="B1704">
        <v>51321001</v>
      </c>
      <c r="C1704">
        <v>21</v>
      </c>
      <c r="D1704">
        <v>73110</v>
      </c>
      <c r="E1704">
        <v>219301</v>
      </c>
      <c r="F1704" t="s">
        <v>115</v>
      </c>
      <c r="G1704" t="s">
        <v>71</v>
      </c>
      <c r="H1704">
        <v>0</v>
      </c>
      <c r="I1704">
        <v>0</v>
      </c>
      <c r="J1704">
        <v>0</v>
      </c>
      <c r="K1704">
        <v>0</v>
      </c>
      <c r="L1704">
        <v>0</v>
      </c>
    </row>
    <row r="1705" spans="1:12" x14ac:dyDescent="0.25">
      <c r="A1705" t="str">
        <f t="shared" si="26"/>
        <v>731102193012026M10</v>
      </c>
      <c r="B1705">
        <v>51321001</v>
      </c>
      <c r="C1705">
        <v>21</v>
      </c>
      <c r="D1705">
        <v>73110</v>
      </c>
      <c r="E1705">
        <v>219301</v>
      </c>
      <c r="F1705" t="s">
        <v>115</v>
      </c>
      <c r="G1705" t="s">
        <v>72</v>
      </c>
      <c r="H1705">
        <v>0</v>
      </c>
      <c r="I1705">
        <v>0</v>
      </c>
      <c r="J1705">
        <v>0</v>
      </c>
      <c r="K1705">
        <v>0</v>
      </c>
      <c r="L1705">
        <v>0</v>
      </c>
    </row>
    <row r="1706" spans="1:12" x14ac:dyDescent="0.25">
      <c r="A1706" t="str">
        <f t="shared" si="26"/>
        <v>731102193012026M11</v>
      </c>
      <c r="B1706">
        <v>51321001</v>
      </c>
      <c r="C1706">
        <v>21</v>
      </c>
      <c r="D1706">
        <v>73110</v>
      </c>
      <c r="E1706">
        <v>219301</v>
      </c>
      <c r="F1706" t="s">
        <v>115</v>
      </c>
      <c r="G1706" t="s">
        <v>73</v>
      </c>
      <c r="H1706">
        <v>0</v>
      </c>
      <c r="I1706">
        <v>0</v>
      </c>
      <c r="J1706">
        <v>0</v>
      </c>
      <c r="K1706">
        <v>0</v>
      </c>
      <c r="L1706">
        <v>0</v>
      </c>
    </row>
    <row r="1707" spans="1:12" x14ac:dyDescent="0.25">
      <c r="A1707" t="str">
        <f t="shared" si="26"/>
        <v>731102193012026M12</v>
      </c>
      <c r="B1707">
        <v>51321001</v>
      </c>
      <c r="C1707">
        <v>21</v>
      </c>
      <c r="D1707">
        <v>73110</v>
      </c>
      <c r="E1707">
        <v>219301</v>
      </c>
      <c r="F1707" t="s">
        <v>115</v>
      </c>
      <c r="G1707" t="s">
        <v>74</v>
      </c>
      <c r="H1707">
        <v>0</v>
      </c>
      <c r="I1707">
        <v>0</v>
      </c>
      <c r="J1707">
        <v>0</v>
      </c>
      <c r="K1707">
        <v>0</v>
      </c>
      <c r="L1707">
        <v>0</v>
      </c>
    </row>
    <row r="1708" spans="1:12" x14ac:dyDescent="0.25">
      <c r="A1708" t="str">
        <f t="shared" si="26"/>
        <v>731102193052026M02</v>
      </c>
      <c r="B1708">
        <v>51321001</v>
      </c>
      <c r="C1708">
        <v>21</v>
      </c>
      <c r="D1708">
        <v>73110</v>
      </c>
      <c r="E1708">
        <v>219305</v>
      </c>
      <c r="F1708" t="s">
        <v>115</v>
      </c>
      <c r="G1708" t="s">
        <v>64</v>
      </c>
      <c r="H1708">
        <v>0</v>
      </c>
      <c r="I1708">
        <v>0</v>
      </c>
      <c r="J1708">
        <v>0</v>
      </c>
      <c r="K1708">
        <v>0</v>
      </c>
      <c r="L1708">
        <v>0</v>
      </c>
    </row>
    <row r="1709" spans="1:12" x14ac:dyDescent="0.25">
      <c r="A1709" t="str">
        <f t="shared" si="26"/>
        <v>731102193052026M03</v>
      </c>
      <c r="B1709">
        <v>51321001</v>
      </c>
      <c r="C1709">
        <v>21</v>
      </c>
      <c r="D1709">
        <v>73110</v>
      </c>
      <c r="E1709">
        <v>219305</v>
      </c>
      <c r="F1709" t="s">
        <v>115</v>
      </c>
      <c r="G1709" t="s">
        <v>65</v>
      </c>
      <c r="H1709">
        <v>18230</v>
      </c>
      <c r="I1709">
        <v>18230</v>
      </c>
      <c r="J1709">
        <v>0</v>
      </c>
      <c r="K1709">
        <v>0</v>
      </c>
      <c r="L1709">
        <v>0</v>
      </c>
    </row>
    <row r="1710" spans="1:12" x14ac:dyDescent="0.25">
      <c r="A1710" t="str">
        <f t="shared" si="26"/>
        <v>731102193052026M04</v>
      </c>
      <c r="B1710">
        <v>51321001</v>
      </c>
      <c r="C1710">
        <v>21</v>
      </c>
      <c r="D1710">
        <v>73110</v>
      </c>
      <c r="E1710">
        <v>219305</v>
      </c>
      <c r="F1710" t="s">
        <v>115</v>
      </c>
      <c r="G1710" t="s">
        <v>66</v>
      </c>
      <c r="H1710">
        <v>9115</v>
      </c>
      <c r="I1710">
        <v>9115</v>
      </c>
      <c r="J1710">
        <v>0</v>
      </c>
      <c r="K1710">
        <v>0</v>
      </c>
      <c r="L1710">
        <v>0</v>
      </c>
    </row>
    <row r="1711" spans="1:12" x14ac:dyDescent="0.25">
      <c r="A1711" t="str">
        <f t="shared" si="26"/>
        <v>731102193052026M05</v>
      </c>
      <c r="B1711">
        <v>51321001</v>
      </c>
      <c r="C1711">
        <v>21</v>
      </c>
      <c r="D1711">
        <v>73110</v>
      </c>
      <c r="E1711">
        <v>219305</v>
      </c>
      <c r="F1711" t="s">
        <v>115</v>
      </c>
      <c r="G1711" t="s">
        <v>67</v>
      </c>
      <c r="H1711">
        <v>9115</v>
      </c>
      <c r="I1711">
        <v>9115</v>
      </c>
      <c r="J1711">
        <v>0</v>
      </c>
      <c r="K1711">
        <v>0</v>
      </c>
      <c r="L1711">
        <v>0</v>
      </c>
    </row>
    <row r="1712" spans="1:12" x14ac:dyDescent="0.25">
      <c r="A1712" t="str">
        <f t="shared" si="26"/>
        <v>731102193052026M06</v>
      </c>
      <c r="B1712">
        <v>51321001</v>
      </c>
      <c r="C1712">
        <v>21</v>
      </c>
      <c r="D1712">
        <v>73110</v>
      </c>
      <c r="E1712">
        <v>219305</v>
      </c>
      <c r="F1712" t="s">
        <v>115</v>
      </c>
      <c r="G1712" t="s">
        <v>68</v>
      </c>
      <c r="H1712">
        <v>9115</v>
      </c>
      <c r="I1712">
        <v>9115</v>
      </c>
      <c r="J1712">
        <v>0</v>
      </c>
      <c r="K1712">
        <v>0</v>
      </c>
      <c r="L1712">
        <v>0</v>
      </c>
    </row>
    <row r="1713" spans="1:12" x14ac:dyDescent="0.25">
      <c r="A1713" t="str">
        <f t="shared" si="26"/>
        <v>731102193052026M07</v>
      </c>
      <c r="B1713">
        <v>51321001</v>
      </c>
      <c r="C1713">
        <v>21</v>
      </c>
      <c r="D1713">
        <v>73110</v>
      </c>
      <c r="E1713">
        <v>219305</v>
      </c>
      <c r="F1713" t="s">
        <v>115</v>
      </c>
      <c r="G1713" t="s">
        <v>69</v>
      </c>
      <c r="H1713">
        <v>9115</v>
      </c>
      <c r="I1713">
        <v>9115</v>
      </c>
      <c r="J1713">
        <v>0</v>
      </c>
      <c r="K1713">
        <v>0</v>
      </c>
      <c r="L1713">
        <v>0</v>
      </c>
    </row>
    <row r="1714" spans="1:12" x14ac:dyDescent="0.25">
      <c r="A1714" t="str">
        <f t="shared" si="26"/>
        <v>731102193052026M08</v>
      </c>
      <c r="B1714">
        <v>51321001</v>
      </c>
      <c r="C1714">
        <v>21</v>
      </c>
      <c r="D1714">
        <v>73110</v>
      </c>
      <c r="E1714">
        <v>219305</v>
      </c>
      <c r="F1714" t="s">
        <v>115</v>
      </c>
      <c r="G1714" t="s">
        <v>70</v>
      </c>
      <c r="H1714">
        <v>9115</v>
      </c>
      <c r="I1714">
        <v>9115</v>
      </c>
      <c r="J1714">
        <v>0</v>
      </c>
      <c r="K1714">
        <v>0</v>
      </c>
      <c r="L1714">
        <v>0</v>
      </c>
    </row>
    <row r="1715" spans="1:12" x14ac:dyDescent="0.25">
      <c r="A1715" t="str">
        <f t="shared" si="26"/>
        <v>731102193052026M09</v>
      </c>
      <c r="B1715">
        <v>51321001</v>
      </c>
      <c r="C1715">
        <v>21</v>
      </c>
      <c r="D1715">
        <v>73110</v>
      </c>
      <c r="E1715">
        <v>219305</v>
      </c>
      <c r="F1715" t="s">
        <v>115</v>
      </c>
      <c r="G1715" t="s">
        <v>71</v>
      </c>
      <c r="H1715">
        <v>9115</v>
      </c>
      <c r="I1715">
        <v>9115</v>
      </c>
      <c r="J1715">
        <v>0</v>
      </c>
      <c r="K1715">
        <v>0</v>
      </c>
      <c r="L1715">
        <v>0</v>
      </c>
    </row>
    <row r="1716" spans="1:12" x14ac:dyDescent="0.25">
      <c r="A1716" t="str">
        <f t="shared" si="26"/>
        <v>731102193052026M10</v>
      </c>
      <c r="B1716">
        <v>51321001</v>
      </c>
      <c r="C1716">
        <v>21</v>
      </c>
      <c r="D1716">
        <v>73110</v>
      </c>
      <c r="E1716">
        <v>219305</v>
      </c>
      <c r="F1716" t="s">
        <v>115</v>
      </c>
      <c r="G1716" t="s">
        <v>72</v>
      </c>
      <c r="H1716">
        <v>13394</v>
      </c>
      <c r="I1716">
        <v>0</v>
      </c>
      <c r="J1716">
        <v>13393.57</v>
      </c>
      <c r="K1716">
        <v>0</v>
      </c>
      <c r="L1716">
        <v>0.43</v>
      </c>
    </row>
    <row r="1717" spans="1:12" x14ac:dyDescent="0.25">
      <c r="A1717" t="str">
        <f t="shared" si="26"/>
        <v>731102193052026M11</v>
      </c>
      <c r="B1717">
        <v>51321001</v>
      </c>
      <c r="C1717">
        <v>21</v>
      </c>
      <c r="D1717">
        <v>73110</v>
      </c>
      <c r="E1717">
        <v>219305</v>
      </c>
      <c r="F1717" t="s">
        <v>115</v>
      </c>
      <c r="G1717" t="s">
        <v>73</v>
      </c>
      <c r="H1717">
        <v>13394</v>
      </c>
      <c r="I1717">
        <v>0</v>
      </c>
      <c r="J1717">
        <v>13393.57</v>
      </c>
      <c r="K1717">
        <v>0</v>
      </c>
      <c r="L1717">
        <v>0.43</v>
      </c>
    </row>
    <row r="1718" spans="1:12" x14ac:dyDescent="0.25">
      <c r="A1718" t="str">
        <f t="shared" si="26"/>
        <v>731102193052026M12</v>
      </c>
      <c r="B1718">
        <v>51321001</v>
      </c>
      <c r="C1718">
        <v>21</v>
      </c>
      <c r="D1718">
        <v>73110</v>
      </c>
      <c r="E1718">
        <v>219305</v>
      </c>
      <c r="F1718" t="s">
        <v>115</v>
      </c>
      <c r="G1718" t="s">
        <v>74</v>
      </c>
      <c r="H1718">
        <v>26787.88</v>
      </c>
      <c r="I1718">
        <v>0</v>
      </c>
      <c r="J1718">
        <v>26787.02</v>
      </c>
      <c r="K1718">
        <v>0</v>
      </c>
      <c r="L1718">
        <v>0.86</v>
      </c>
    </row>
    <row r="1719" spans="1:12" x14ac:dyDescent="0.25">
      <c r="A1719" t="str">
        <f t="shared" si="26"/>
        <v>731202193022026M02</v>
      </c>
      <c r="B1719">
        <v>51321001</v>
      </c>
      <c r="C1719">
        <v>21</v>
      </c>
      <c r="D1719">
        <v>73120</v>
      </c>
      <c r="E1719">
        <v>219302</v>
      </c>
      <c r="F1719" t="s">
        <v>115</v>
      </c>
      <c r="G1719" t="s">
        <v>64</v>
      </c>
      <c r="H1719">
        <v>7539.99</v>
      </c>
      <c r="I1719">
        <v>7539.99</v>
      </c>
      <c r="J1719">
        <v>0</v>
      </c>
      <c r="K1719">
        <v>0</v>
      </c>
      <c r="L1719">
        <v>0</v>
      </c>
    </row>
    <row r="1720" spans="1:12" x14ac:dyDescent="0.25">
      <c r="A1720" t="str">
        <f t="shared" si="26"/>
        <v>731202193022026M03</v>
      </c>
      <c r="B1720">
        <v>51321001</v>
      </c>
      <c r="C1720">
        <v>21</v>
      </c>
      <c r="D1720">
        <v>73120</v>
      </c>
      <c r="E1720">
        <v>219302</v>
      </c>
      <c r="F1720" t="s">
        <v>115</v>
      </c>
      <c r="G1720" t="s">
        <v>65</v>
      </c>
      <c r="H1720">
        <v>7539.99</v>
      </c>
      <c r="I1720">
        <v>7539.99</v>
      </c>
      <c r="J1720">
        <v>0</v>
      </c>
      <c r="K1720">
        <v>0</v>
      </c>
      <c r="L1720">
        <v>0</v>
      </c>
    </row>
    <row r="1721" spans="1:12" x14ac:dyDescent="0.25">
      <c r="A1721" t="str">
        <f t="shared" si="26"/>
        <v>731202193022026M04</v>
      </c>
      <c r="B1721">
        <v>51321001</v>
      </c>
      <c r="C1721">
        <v>21</v>
      </c>
      <c r="D1721">
        <v>73120</v>
      </c>
      <c r="E1721">
        <v>219302</v>
      </c>
      <c r="F1721" t="s">
        <v>115</v>
      </c>
      <c r="G1721" t="s">
        <v>66</v>
      </c>
      <c r="H1721">
        <v>7539.99</v>
      </c>
      <c r="I1721">
        <v>7539.99</v>
      </c>
      <c r="J1721">
        <v>0</v>
      </c>
      <c r="K1721">
        <v>0</v>
      </c>
      <c r="L1721">
        <v>0</v>
      </c>
    </row>
    <row r="1722" spans="1:12" x14ac:dyDescent="0.25">
      <c r="A1722" t="str">
        <f t="shared" si="26"/>
        <v>731202193022026M05</v>
      </c>
      <c r="B1722">
        <v>51321001</v>
      </c>
      <c r="C1722">
        <v>21</v>
      </c>
      <c r="D1722">
        <v>73120</v>
      </c>
      <c r="E1722">
        <v>219302</v>
      </c>
      <c r="F1722" t="s">
        <v>115</v>
      </c>
      <c r="G1722" t="s">
        <v>67</v>
      </c>
      <c r="H1722">
        <v>7539.99</v>
      </c>
      <c r="I1722">
        <v>7539.99</v>
      </c>
      <c r="J1722">
        <v>0</v>
      </c>
      <c r="K1722">
        <v>0</v>
      </c>
      <c r="L1722">
        <v>0</v>
      </c>
    </row>
    <row r="1723" spans="1:12" x14ac:dyDescent="0.25">
      <c r="A1723" t="str">
        <f t="shared" si="26"/>
        <v>731202193022026M06</v>
      </c>
      <c r="B1723">
        <v>51321001</v>
      </c>
      <c r="C1723">
        <v>21</v>
      </c>
      <c r="D1723">
        <v>73120</v>
      </c>
      <c r="E1723">
        <v>219302</v>
      </c>
      <c r="F1723" t="s">
        <v>115</v>
      </c>
      <c r="G1723" t="s">
        <v>68</v>
      </c>
      <c r="H1723">
        <v>7539.99</v>
      </c>
      <c r="I1723">
        <v>7539.99</v>
      </c>
      <c r="J1723">
        <v>0</v>
      </c>
      <c r="K1723">
        <v>0</v>
      </c>
      <c r="L1723">
        <v>0</v>
      </c>
    </row>
    <row r="1724" spans="1:12" x14ac:dyDescent="0.25">
      <c r="A1724" t="str">
        <f t="shared" si="26"/>
        <v>731202193022026M07</v>
      </c>
      <c r="B1724">
        <v>51321001</v>
      </c>
      <c r="C1724">
        <v>21</v>
      </c>
      <c r="D1724">
        <v>73120</v>
      </c>
      <c r="E1724">
        <v>219302</v>
      </c>
      <c r="F1724" t="s">
        <v>115</v>
      </c>
      <c r="G1724" t="s">
        <v>69</v>
      </c>
      <c r="H1724">
        <v>7539.99</v>
      </c>
      <c r="I1724">
        <v>7539.99</v>
      </c>
      <c r="J1724">
        <v>0</v>
      </c>
      <c r="K1724">
        <v>0</v>
      </c>
      <c r="L1724">
        <v>0</v>
      </c>
    </row>
    <row r="1725" spans="1:12" x14ac:dyDescent="0.25">
      <c r="A1725" t="str">
        <f t="shared" si="26"/>
        <v>731202193022026M08</v>
      </c>
      <c r="B1725">
        <v>51321001</v>
      </c>
      <c r="C1725">
        <v>21</v>
      </c>
      <c r="D1725">
        <v>73120</v>
      </c>
      <c r="E1725">
        <v>219302</v>
      </c>
      <c r="F1725" t="s">
        <v>115</v>
      </c>
      <c r="G1725" t="s">
        <v>70</v>
      </c>
      <c r="H1725">
        <v>7539.99</v>
      </c>
      <c r="I1725">
        <v>7539.99</v>
      </c>
      <c r="J1725">
        <v>0</v>
      </c>
      <c r="K1725">
        <v>0</v>
      </c>
      <c r="L1725">
        <v>0</v>
      </c>
    </row>
    <row r="1726" spans="1:12" x14ac:dyDescent="0.25">
      <c r="A1726" t="str">
        <f t="shared" si="26"/>
        <v>731202193022026M09</v>
      </c>
      <c r="B1726">
        <v>51321001</v>
      </c>
      <c r="C1726">
        <v>21</v>
      </c>
      <c r="D1726">
        <v>73120</v>
      </c>
      <c r="E1726">
        <v>219302</v>
      </c>
      <c r="F1726" t="s">
        <v>115</v>
      </c>
      <c r="G1726" t="s">
        <v>71</v>
      </c>
      <c r="H1726">
        <v>7539.99</v>
      </c>
      <c r="I1726">
        <v>7539.99</v>
      </c>
      <c r="J1726">
        <v>0</v>
      </c>
      <c r="K1726">
        <v>0</v>
      </c>
      <c r="L1726">
        <v>0</v>
      </c>
    </row>
    <row r="1727" spans="1:12" x14ac:dyDescent="0.25">
      <c r="A1727" t="str">
        <f t="shared" si="26"/>
        <v>731202193022026M10</v>
      </c>
      <c r="B1727">
        <v>51321001</v>
      </c>
      <c r="C1727">
        <v>21</v>
      </c>
      <c r="D1727">
        <v>73120</v>
      </c>
      <c r="E1727">
        <v>219302</v>
      </c>
      <c r="F1727" t="s">
        <v>115</v>
      </c>
      <c r="G1727" t="s">
        <v>72</v>
      </c>
      <c r="H1727">
        <v>7540.08</v>
      </c>
      <c r="I1727">
        <v>7539.99</v>
      </c>
      <c r="J1727">
        <v>0.09</v>
      </c>
      <c r="K1727">
        <v>0</v>
      </c>
      <c r="L1727">
        <v>0</v>
      </c>
    </row>
    <row r="1728" spans="1:12" x14ac:dyDescent="0.25">
      <c r="A1728" t="str">
        <f t="shared" si="26"/>
        <v>731202193022026M11</v>
      </c>
      <c r="B1728">
        <v>51321001</v>
      </c>
      <c r="C1728">
        <v>21</v>
      </c>
      <c r="D1728">
        <v>73120</v>
      </c>
      <c r="E1728">
        <v>219302</v>
      </c>
      <c r="F1728" t="s">
        <v>115</v>
      </c>
      <c r="G1728" t="s">
        <v>73</v>
      </c>
      <c r="H1728">
        <v>7540</v>
      </c>
      <c r="I1728">
        <v>0</v>
      </c>
      <c r="J1728">
        <v>7540</v>
      </c>
      <c r="K1728">
        <v>0</v>
      </c>
      <c r="L1728">
        <v>0</v>
      </c>
    </row>
    <row r="1729" spans="1:12" x14ac:dyDescent="0.25">
      <c r="A1729" t="str">
        <f t="shared" si="26"/>
        <v>731202193022026M12</v>
      </c>
      <c r="B1729">
        <v>51321001</v>
      </c>
      <c r="C1729">
        <v>21</v>
      </c>
      <c r="D1729">
        <v>73120</v>
      </c>
      <c r="E1729">
        <v>219302</v>
      </c>
      <c r="F1729" t="s">
        <v>115</v>
      </c>
      <c r="G1729" t="s">
        <v>74</v>
      </c>
      <c r="H1729">
        <v>15080</v>
      </c>
      <c r="I1729">
        <v>0</v>
      </c>
      <c r="J1729">
        <v>15080</v>
      </c>
      <c r="K1729">
        <v>0</v>
      </c>
      <c r="L1729">
        <v>0</v>
      </c>
    </row>
    <row r="1730" spans="1:12" x14ac:dyDescent="0.25">
      <c r="A1730" t="str">
        <f t="shared" si="26"/>
        <v>731202193042026M02</v>
      </c>
      <c r="B1730">
        <v>51321001</v>
      </c>
      <c r="C1730">
        <v>21</v>
      </c>
      <c r="D1730">
        <v>73120</v>
      </c>
      <c r="E1730">
        <v>219304</v>
      </c>
      <c r="F1730" t="s">
        <v>115</v>
      </c>
      <c r="G1730" t="s">
        <v>64</v>
      </c>
      <c r="H1730">
        <v>0</v>
      </c>
      <c r="I1730">
        <v>0</v>
      </c>
      <c r="J1730">
        <v>0</v>
      </c>
      <c r="K1730">
        <v>0</v>
      </c>
      <c r="L1730">
        <v>0</v>
      </c>
    </row>
    <row r="1731" spans="1:12" x14ac:dyDescent="0.25">
      <c r="A1731" t="str">
        <f t="shared" si="26"/>
        <v>731202193042026M03</v>
      </c>
      <c r="B1731">
        <v>51321001</v>
      </c>
      <c r="C1731">
        <v>21</v>
      </c>
      <c r="D1731">
        <v>73120</v>
      </c>
      <c r="E1731">
        <v>219304</v>
      </c>
      <c r="F1731" t="s">
        <v>115</v>
      </c>
      <c r="G1731" t="s">
        <v>65</v>
      </c>
      <c r="H1731">
        <v>0</v>
      </c>
      <c r="I1731">
        <v>0</v>
      </c>
      <c r="J1731">
        <v>0</v>
      </c>
      <c r="K1731">
        <v>0</v>
      </c>
      <c r="L1731">
        <v>0</v>
      </c>
    </row>
    <row r="1732" spans="1:12" x14ac:dyDescent="0.25">
      <c r="A1732" t="str">
        <f t="shared" si="26"/>
        <v>731202193042026M04</v>
      </c>
      <c r="B1732">
        <v>51321001</v>
      </c>
      <c r="C1732">
        <v>21</v>
      </c>
      <c r="D1732">
        <v>73120</v>
      </c>
      <c r="E1732">
        <v>219304</v>
      </c>
      <c r="F1732" t="s">
        <v>115</v>
      </c>
      <c r="G1732" t="s">
        <v>66</v>
      </c>
      <c r="H1732">
        <v>0</v>
      </c>
      <c r="I1732">
        <v>0</v>
      </c>
      <c r="J1732">
        <v>0</v>
      </c>
      <c r="K1732">
        <v>0</v>
      </c>
      <c r="L1732">
        <v>0</v>
      </c>
    </row>
    <row r="1733" spans="1:12" x14ac:dyDescent="0.25">
      <c r="A1733" t="str">
        <f t="shared" si="26"/>
        <v>731202193042026M05</v>
      </c>
      <c r="B1733">
        <v>51321001</v>
      </c>
      <c r="C1733">
        <v>21</v>
      </c>
      <c r="D1733">
        <v>73120</v>
      </c>
      <c r="E1733">
        <v>219304</v>
      </c>
      <c r="F1733" t="s">
        <v>115</v>
      </c>
      <c r="G1733" t="s">
        <v>67</v>
      </c>
      <c r="H1733">
        <v>0</v>
      </c>
      <c r="I1733">
        <v>0</v>
      </c>
      <c r="J1733">
        <v>0</v>
      </c>
      <c r="K1733">
        <v>0</v>
      </c>
      <c r="L1733">
        <v>0</v>
      </c>
    </row>
    <row r="1734" spans="1:12" x14ac:dyDescent="0.25">
      <c r="A1734" t="str">
        <f t="shared" si="26"/>
        <v>731202193042026M06</v>
      </c>
      <c r="B1734">
        <v>51321001</v>
      </c>
      <c r="C1734">
        <v>21</v>
      </c>
      <c r="D1734">
        <v>73120</v>
      </c>
      <c r="E1734">
        <v>219304</v>
      </c>
      <c r="F1734" t="s">
        <v>115</v>
      </c>
      <c r="G1734" t="s">
        <v>68</v>
      </c>
      <c r="H1734">
        <v>0</v>
      </c>
      <c r="I1734">
        <v>0</v>
      </c>
      <c r="J1734">
        <v>0</v>
      </c>
      <c r="K1734">
        <v>0</v>
      </c>
      <c r="L1734">
        <v>0</v>
      </c>
    </row>
    <row r="1735" spans="1:12" x14ac:dyDescent="0.25">
      <c r="A1735" t="str">
        <f t="shared" si="26"/>
        <v>731202193042026M07</v>
      </c>
      <c r="B1735">
        <v>51321001</v>
      </c>
      <c r="C1735">
        <v>21</v>
      </c>
      <c r="D1735">
        <v>73120</v>
      </c>
      <c r="E1735">
        <v>219304</v>
      </c>
      <c r="F1735" t="s">
        <v>115</v>
      </c>
      <c r="G1735" t="s">
        <v>69</v>
      </c>
      <c r="H1735">
        <v>0</v>
      </c>
      <c r="I1735">
        <v>0</v>
      </c>
      <c r="J1735">
        <v>0</v>
      </c>
      <c r="K1735">
        <v>0</v>
      </c>
      <c r="L1735">
        <v>0</v>
      </c>
    </row>
    <row r="1736" spans="1:12" x14ac:dyDescent="0.25">
      <c r="A1736" t="str">
        <f t="shared" si="26"/>
        <v>731202193042026M08</v>
      </c>
      <c r="B1736">
        <v>51321001</v>
      </c>
      <c r="C1736">
        <v>21</v>
      </c>
      <c r="D1736">
        <v>73120</v>
      </c>
      <c r="E1736">
        <v>219304</v>
      </c>
      <c r="F1736" t="s">
        <v>115</v>
      </c>
      <c r="G1736" t="s">
        <v>70</v>
      </c>
      <c r="H1736">
        <v>0</v>
      </c>
      <c r="I1736">
        <v>0</v>
      </c>
      <c r="J1736">
        <v>0</v>
      </c>
      <c r="K1736">
        <v>0</v>
      </c>
      <c r="L1736">
        <v>0</v>
      </c>
    </row>
    <row r="1737" spans="1:12" x14ac:dyDescent="0.25">
      <c r="A1737" t="str">
        <f t="shared" si="26"/>
        <v>731202193042026M09</v>
      </c>
      <c r="B1737">
        <v>51321001</v>
      </c>
      <c r="C1737">
        <v>21</v>
      </c>
      <c r="D1737">
        <v>73120</v>
      </c>
      <c r="E1737">
        <v>219304</v>
      </c>
      <c r="F1737" t="s">
        <v>115</v>
      </c>
      <c r="G1737" t="s">
        <v>71</v>
      </c>
      <c r="H1737">
        <v>0</v>
      </c>
      <c r="I1737">
        <v>0</v>
      </c>
      <c r="J1737">
        <v>0</v>
      </c>
      <c r="K1737">
        <v>0</v>
      </c>
      <c r="L1737">
        <v>0</v>
      </c>
    </row>
    <row r="1738" spans="1:12" x14ac:dyDescent="0.25">
      <c r="A1738" t="str">
        <f t="shared" si="26"/>
        <v>731202193042026M10</v>
      </c>
      <c r="B1738">
        <v>51321001</v>
      </c>
      <c r="C1738">
        <v>21</v>
      </c>
      <c r="D1738">
        <v>73120</v>
      </c>
      <c r="E1738">
        <v>219304</v>
      </c>
      <c r="F1738" t="s">
        <v>115</v>
      </c>
      <c r="G1738" t="s">
        <v>72</v>
      </c>
      <c r="H1738">
        <v>0</v>
      </c>
      <c r="I1738">
        <v>0</v>
      </c>
      <c r="J1738">
        <v>0</v>
      </c>
      <c r="K1738">
        <v>0</v>
      </c>
      <c r="L1738">
        <v>0</v>
      </c>
    </row>
    <row r="1739" spans="1:12" x14ac:dyDescent="0.25">
      <c r="A1739" t="str">
        <f t="shared" ref="A1739:A1802" si="27">D1739&amp;E1739&amp;G1739</f>
        <v>731202193042026M11</v>
      </c>
      <c r="B1739">
        <v>51321001</v>
      </c>
      <c r="C1739">
        <v>21</v>
      </c>
      <c r="D1739">
        <v>73120</v>
      </c>
      <c r="E1739">
        <v>219304</v>
      </c>
      <c r="F1739" t="s">
        <v>115</v>
      </c>
      <c r="G1739" t="s">
        <v>73</v>
      </c>
      <c r="H1739">
        <v>0</v>
      </c>
      <c r="I1739">
        <v>0</v>
      </c>
      <c r="J1739">
        <v>0</v>
      </c>
      <c r="K1739">
        <v>0</v>
      </c>
      <c r="L1739">
        <v>0</v>
      </c>
    </row>
    <row r="1740" spans="1:12" x14ac:dyDescent="0.25">
      <c r="A1740" t="str">
        <f t="shared" si="27"/>
        <v>731202193042026M12</v>
      </c>
      <c r="B1740">
        <v>51321001</v>
      </c>
      <c r="C1740">
        <v>21</v>
      </c>
      <c r="D1740">
        <v>73120</v>
      </c>
      <c r="E1740">
        <v>219304</v>
      </c>
      <c r="F1740" t="s">
        <v>115</v>
      </c>
      <c r="G1740" t="s">
        <v>74</v>
      </c>
      <c r="H1740">
        <v>0</v>
      </c>
      <c r="I1740">
        <v>0</v>
      </c>
      <c r="J1740">
        <v>0</v>
      </c>
      <c r="K1740">
        <v>0</v>
      </c>
      <c r="L1740">
        <v>0</v>
      </c>
    </row>
    <row r="1741" spans="1:12" x14ac:dyDescent="0.25">
      <c r="A1741" t="str">
        <f t="shared" si="27"/>
        <v>1001002190012026M02</v>
      </c>
      <c r="B1741">
        <v>51321001</v>
      </c>
      <c r="C1741">
        <v>21</v>
      </c>
      <c r="D1741">
        <v>100100</v>
      </c>
      <c r="E1741">
        <v>219001</v>
      </c>
      <c r="F1741" t="s">
        <v>115</v>
      </c>
      <c r="G1741" t="s">
        <v>64</v>
      </c>
      <c r="H1741">
        <v>0</v>
      </c>
      <c r="I1741">
        <v>0</v>
      </c>
      <c r="J1741">
        <v>0</v>
      </c>
      <c r="K1741">
        <v>0</v>
      </c>
      <c r="L1741">
        <v>0</v>
      </c>
    </row>
    <row r="1742" spans="1:12" x14ac:dyDescent="0.25">
      <c r="A1742" t="str">
        <f t="shared" si="27"/>
        <v>1001002190012026M03</v>
      </c>
      <c r="B1742">
        <v>51321001</v>
      </c>
      <c r="C1742">
        <v>21</v>
      </c>
      <c r="D1742">
        <v>100100</v>
      </c>
      <c r="E1742">
        <v>219001</v>
      </c>
      <c r="F1742" t="s">
        <v>115</v>
      </c>
      <c r="G1742" t="s">
        <v>65</v>
      </c>
      <c r="H1742">
        <v>440800</v>
      </c>
      <c r="I1742">
        <v>440800</v>
      </c>
      <c r="J1742">
        <v>0</v>
      </c>
      <c r="K1742">
        <v>0</v>
      </c>
      <c r="L1742">
        <v>0</v>
      </c>
    </row>
    <row r="1743" spans="1:12" x14ac:dyDescent="0.25">
      <c r="A1743" t="str">
        <f t="shared" si="27"/>
        <v>1001002190012026M04</v>
      </c>
      <c r="B1743">
        <v>51321001</v>
      </c>
      <c r="C1743">
        <v>21</v>
      </c>
      <c r="D1743">
        <v>100100</v>
      </c>
      <c r="E1743">
        <v>219001</v>
      </c>
      <c r="F1743" t="s">
        <v>115</v>
      </c>
      <c r="G1743" t="s">
        <v>66</v>
      </c>
      <c r="H1743">
        <v>220400</v>
      </c>
      <c r="I1743">
        <v>220400</v>
      </c>
      <c r="J1743">
        <v>0</v>
      </c>
      <c r="K1743">
        <v>0</v>
      </c>
      <c r="L1743">
        <v>0</v>
      </c>
    </row>
    <row r="1744" spans="1:12" x14ac:dyDescent="0.25">
      <c r="A1744" t="str">
        <f t="shared" si="27"/>
        <v>1001002190012026M05</v>
      </c>
      <c r="B1744">
        <v>51321001</v>
      </c>
      <c r="C1744">
        <v>21</v>
      </c>
      <c r="D1744">
        <v>100100</v>
      </c>
      <c r="E1744">
        <v>219001</v>
      </c>
      <c r="F1744" t="s">
        <v>115</v>
      </c>
      <c r="G1744" t="s">
        <v>67</v>
      </c>
      <c r="H1744">
        <v>220400</v>
      </c>
      <c r="I1744">
        <v>220400</v>
      </c>
      <c r="J1744">
        <v>0</v>
      </c>
      <c r="K1744">
        <v>0</v>
      </c>
      <c r="L1744">
        <v>0</v>
      </c>
    </row>
    <row r="1745" spans="1:12" x14ac:dyDescent="0.25">
      <c r="A1745" t="str">
        <f t="shared" si="27"/>
        <v>1001002190012026M06</v>
      </c>
      <c r="B1745">
        <v>51321001</v>
      </c>
      <c r="C1745">
        <v>21</v>
      </c>
      <c r="D1745">
        <v>100100</v>
      </c>
      <c r="E1745">
        <v>219001</v>
      </c>
      <c r="F1745" t="s">
        <v>115</v>
      </c>
      <c r="G1745" t="s">
        <v>68</v>
      </c>
      <c r="H1745">
        <v>220400</v>
      </c>
      <c r="I1745">
        <v>220400</v>
      </c>
      <c r="J1745">
        <v>0</v>
      </c>
      <c r="K1745">
        <v>0</v>
      </c>
      <c r="L1745">
        <v>0</v>
      </c>
    </row>
    <row r="1746" spans="1:12" x14ac:dyDescent="0.25">
      <c r="A1746" t="str">
        <f t="shared" si="27"/>
        <v>1001002190012026M07</v>
      </c>
      <c r="B1746">
        <v>51321001</v>
      </c>
      <c r="C1746">
        <v>21</v>
      </c>
      <c r="D1746">
        <v>100100</v>
      </c>
      <c r="E1746">
        <v>219001</v>
      </c>
      <c r="F1746" t="s">
        <v>115</v>
      </c>
      <c r="G1746" t="s">
        <v>69</v>
      </c>
      <c r="H1746">
        <v>220400</v>
      </c>
      <c r="I1746">
        <v>220400</v>
      </c>
      <c r="J1746">
        <v>0</v>
      </c>
      <c r="K1746">
        <v>0</v>
      </c>
      <c r="L1746">
        <v>0</v>
      </c>
    </row>
    <row r="1747" spans="1:12" x14ac:dyDescent="0.25">
      <c r="A1747" t="str">
        <f t="shared" si="27"/>
        <v>1001002190012026M08</v>
      </c>
      <c r="B1747">
        <v>51321001</v>
      </c>
      <c r="C1747">
        <v>21</v>
      </c>
      <c r="D1747">
        <v>100100</v>
      </c>
      <c r="E1747">
        <v>219001</v>
      </c>
      <c r="F1747" t="s">
        <v>115</v>
      </c>
      <c r="G1747" t="s">
        <v>70</v>
      </c>
      <c r="H1747">
        <v>220400</v>
      </c>
      <c r="I1747">
        <v>220400</v>
      </c>
      <c r="J1747">
        <v>0</v>
      </c>
      <c r="K1747">
        <v>0</v>
      </c>
      <c r="L1747">
        <v>0</v>
      </c>
    </row>
    <row r="1748" spans="1:12" x14ac:dyDescent="0.25">
      <c r="A1748" t="str">
        <f t="shared" si="27"/>
        <v>1001002190012026M09</v>
      </c>
      <c r="B1748">
        <v>51321001</v>
      </c>
      <c r="C1748">
        <v>21</v>
      </c>
      <c r="D1748">
        <v>100100</v>
      </c>
      <c r="E1748">
        <v>219001</v>
      </c>
      <c r="F1748" t="s">
        <v>115</v>
      </c>
      <c r="G1748" t="s">
        <v>71</v>
      </c>
      <c r="H1748">
        <v>220400</v>
      </c>
      <c r="I1748">
        <v>220400</v>
      </c>
      <c r="J1748">
        <v>0</v>
      </c>
      <c r="K1748">
        <v>0</v>
      </c>
      <c r="L1748">
        <v>0</v>
      </c>
    </row>
    <row r="1749" spans="1:12" x14ac:dyDescent="0.25">
      <c r="A1749" t="str">
        <f t="shared" si="27"/>
        <v>1001002190012026M10</v>
      </c>
      <c r="B1749">
        <v>51321001</v>
      </c>
      <c r="C1749">
        <v>21</v>
      </c>
      <c r="D1749">
        <v>100100</v>
      </c>
      <c r="E1749">
        <v>219001</v>
      </c>
      <c r="F1749" t="s">
        <v>115</v>
      </c>
      <c r="G1749" t="s">
        <v>72</v>
      </c>
      <c r="H1749">
        <v>248347</v>
      </c>
      <c r="I1749">
        <v>0</v>
      </c>
      <c r="J1749">
        <v>248346.72</v>
      </c>
      <c r="K1749">
        <v>0</v>
      </c>
      <c r="L1749">
        <v>0.28000000000000003</v>
      </c>
    </row>
    <row r="1750" spans="1:12" x14ac:dyDescent="0.25">
      <c r="A1750" t="str">
        <f t="shared" si="27"/>
        <v>1001002190012026M11</v>
      </c>
      <c r="B1750">
        <v>51321001</v>
      </c>
      <c r="C1750">
        <v>21</v>
      </c>
      <c r="D1750">
        <v>100100</v>
      </c>
      <c r="E1750">
        <v>219001</v>
      </c>
      <c r="F1750" t="s">
        <v>115</v>
      </c>
      <c r="G1750" t="s">
        <v>73</v>
      </c>
      <c r="H1750">
        <v>248347</v>
      </c>
      <c r="I1750">
        <v>0</v>
      </c>
      <c r="J1750">
        <v>248346.72</v>
      </c>
      <c r="K1750">
        <v>0</v>
      </c>
      <c r="L1750">
        <v>0.28000000000000003</v>
      </c>
    </row>
    <row r="1751" spans="1:12" x14ac:dyDescent="0.25">
      <c r="A1751" t="str">
        <f t="shared" si="27"/>
        <v>1001002190012026M12</v>
      </c>
      <c r="B1751">
        <v>51321001</v>
      </c>
      <c r="C1751">
        <v>21</v>
      </c>
      <c r="D1751">
        <v>100100</v>
      </c>
      <c r="E1751">
        <v>219001</v>
      </c>
      <c r="F1751" t="s">
        <v>115</v>
      </c>
      <c r="G1751" t="s">
        <v>74</v>
      </c>
      <c r="H1751">
        <v>496694</v>
      </c>
      <c r="I1751">
        <v>0</v>
      </c>
      <c r="J1751">
        <v>496693.44</v>
      </c>
      <c r="K1751">
        <v>0</v>
      </c>
      <c r="L1751">
        <v>0.56000000000000005</v>
      </c>
    </row>
    <row r="1752" spans="1:12" x14ac:dyDescent="0.25">
      <c r="A1752" t="str">
        <f t="shared" si="27"/>
        <v>1509042181042026M02</v>
      </c>
      <c r="B1752">
        <v>51321001</v>
      </c>
      <c r="C1752">
        <v>21</v>
      </c>
      <c r="D1752">
        <v>150904</v>
      </c>
      <c r="E1752">
        <v>218104</v>
      </c>
      <c r="F1752" t="s">
        <v>115</v>
      </c>
      <c r="G1752" t="s">
        <v>64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 spans="1:12" x14ac:dyDescent="0.25">
      <c r="A1753" t="str">
        <f t="shared" si="27"/>
        <v>1509042181042026M03</v>
      </c>
      <c r="B1753">
        <v>51321001</v>
      </c>
      <c r="C1753">
        <v>21</v>
      </c>
      <c r="D1753">
        <v>150904</v>
      </c>
      <c r="E1753">
        <v>218104</v>
      </c>
      <c r="F1753" t="s">
        <v>115</v>
      </c>
      <c r="G1753" t="s">
        <v>65</v>
      </c>
      <c r="H1753">
        <v>405999.78</v>
      </c>
      <c r="I1753">
        <v>405999.78</v>
      </c>
      <c r="J1753">
        <v>0</v>
      </c>
      <c r="K1753">
        <v>0</v>
      </c>
      <c r="L1753">
        <v>0</v>
      </c>
    </row>
    <row r="1754" spans="1:12" x14ac:dyDescent="0.25">
      <c r="A1754" t="str">
        <f t="shared" si="27"/>
        <v>1509042181042026M04</v>
      </c>
      <c r="B1754">
        <v>51321001</v>
      </c>
      <c r="C1754">
        <v>21</v>
      </c>
      <c r="D1754">
        <v>150904</v>
      </c>
      <c r="E1754">
        <v>218104</v>
      </c>
      <c r="F1754" t="s">
        <v>115</v>
      </c>
      <c r="G1754" t="s">
        <v>66</v>
      </c>
      <c r="H1754">
        <v>202999.89</v>
      </c>
      <c r="I1754">
        <v>202999.89</v>
      </c>
      <c r="J1754">
        <v>0</v>
      </c>
      <c r="K1754">
        <v>0</v>
      </c>
      <c r="L1754">
        <v>0</v>
      </c>
    </row>
    <row r="1755" spans="1:12" x14ac:dyDescent="0.25">
      <c r="A1755" t="str">
        <f t="shared" si="27"/>
        <v>1509042181042026M05</v>
      </c>
      <c r="B1755">
        <v>51321001</v>
      </c>
      <c r="C1755">
        <v>21</v>
      </c>
      <c r="D1755">
        <v>150904</v>
      </c>
      <c r="E1755">
        <v>218104</v>
      </c>
      <c r="F1755" t="s">
        <v>115</v>
      </c>
      <c r="G1755" t="s">
        <v>67</v>
      </c>
      <c r="H1755">
        <v>202999.89</v>
      </c>
      <c r="I1755">
        <v>202999.89</v>
      </c>
      <c r="J1755">
        <v>0</v>
      </c>
      <c r="K1755">
        <v>0</v>
      </c>
      <c r="L1755">
        <v>0</v>
      </c>
    </row>
    <row r="1756" spans="1:12" x14ac:dyDescent="0.25">
      <c r="A1756" t="str">
        <f t="shared" si="27"/>
        <v>1509042181042026M06</v>
      </c>
      <c r="B1756">
        <v>51321001</v>
      </c>
      <c r="C1756">
        <v>21</v>
      </c>
      <c r="D1756">
        <v>150904</v>
      </c>
      <c r="E1756">
        <v>218104</v>
      </c>
      <c r="F1756" t="s">
        <v>115</v>
      </c>
      <c r="G1756" t="s">
        <v>68</v>
      </c>
      <c r="H1756">
        <v>202999.89</v>
      </c>
      <c r="I1756">
        <v>202999.89</v>
      </c>
      <c r="J1756">
        <v>0</v>
      </c>
      <c r="K1756">
        <v>0</v>
      </c>
      <c r="L1756">
        <v>0</v>
      </c>
    </row>
    <row r="1757" spans="1:12" x14ac:dyDescent="0.25">
      <c r="A1757" t="str">
        <f t="shared" si="27"/>
        <v>1509042181042026M07</v>
      </c>
      <c r="B1757">
        <v>51321001</v>
      </c>
      <c r="C1757">
        <v>21</v>
      </c>
      <c r="D1757">
        <v>150904</v>
      </c>
      <c r="E1757">
        <v>218104</v>
      </c>
      <c r="F1757" t="s">
        <v>115</v>
      </c>
      <c r="G1757" t="s">
        <v>69</v>
      </c>
      <c r="H1757">
        <v>202999.89</v>
      </c>
      <c r="I1757">
        <v>202999.89</v>
      </c>
      <c r="J1757">
        <v>0</v>
      </c>
      <c r="K1757">
        <v>0</v>
      </c>
      <c r="L1757">
        <v>0</v>
      </c>
    </row>
    <row r="1758" spans="1:12" x14ac:dyDescent="0.25">
      <c r="A1758" t="str">
        <f t="shared" si="27"/>
        <v>1509042181042026M08</v>
      </c>
      <c r="B1758">
        <v>51321001</v>
      </c>
      <c r="C1758">
        <v>21</v>
      </c>
      <c r="D1758">
        <v>150904</v>
      </c>
      <c r="E1758">
        <v>218104</v>
      </c>
      <c r="F1758" t="s">
        <v>115</v>
      </c>
      <c r="G1758" t="s">
        <v>70</v>
      </c>
      <c r="H1758">
        <v>202999.89</v>
      </c>
      <c r="I1758">
        <v>202999.89</v>
      </c>
      <c r="J1758">
        <v>0</v>
      </c>
      <c r="K1758">
        <v>0</v>
      </c>
      <c r="L1758">
        <v>0</v>
      </c>
    </row>
    <row r="1759" spans="1:12" x14ac:dyDescent="0.25">
      <c r="A1759" t="str">
        <f t="shared" si="27"/>
        <v>1509042181042026M09</v>
      </c>
      <c r="B1759">
        <v>51321001</v>
      </c>
      <c r="C1759">
        <v>21</v>
      </c>
      <c r="D1759">
        <v>150904</v>
      </c>
      <c r="E1759">
        <v>218104</v>
      </c>
      <c r="F1759" t="s">
        <v>115</v>
      </c>
      <c r="G1759" t="s">
        <v>71</v>
      </c>
      <c r="H1759">
        <v>202999.89</v>
      </c>
      <c r="I1759">
        <v>202999.89</v>
      </c>
      <c r="J1759">
        <v>0</v>
      </c>
      <c r="K1759">
        <v>0</v>
      </c>
      <c r="L1759">
        <v>0</v>
      </c>
    </row>
    <row r="1760" spans="1:12" x14ac:dyDescent="0.25">
      <c r="A1760" t="str">
        <f t="shared" si="27"/>
        <v>1509042181042026M10</v>
      </c>
      <c r="B1760">
        <v>51321001</v>
      </c>
      <c r="C1760">
        <v>21</v>
      </c>
      <c r="D1760">
        <v>150904</v>
      </c>
      <c r="E1760">
        <v>218104</v>
      </c>
      <c r="F1760" t="s">
        <v>115</v>
      </c>
      <c r="G1760" t="s">
        <v>72</v>
      </c>
      <c r="H1760">
        <v>208800.88</v>
      </c>
      <c r="I1760">
        <v>0</v>
      </c>
      <c r="J1760">
        <v>208800.88</v>
      </c>
      <c r="K1760">
        <v>0</v>
      </c>
      <c r="L1760">
        <v>0</v>
      </c>
    </row>
    <row r="1761" spans="1:12" x14ac:dyDescent="0.25">
      <c r="A1761" t="str">
        <f t="shared" si="27"/>
        <v>1509042181042026M11</v>
      </c>
      <c r="B1761">
        <v>51321001</v>
      </c>
      <c r="C1761">
        <v>21</v>
      </c>
      <c r="D1761">
        <v>150904</v>
      </c>
      <c r="E1761">
        <v>218104</v>
      </c>
      <c r="F1761" t="s">
        <v>115</v>
      </c>
      <c r="G1761" t="s">
        <v>73</v>
      </c>
      <c r="H1761">
        <v>208800</v>
      </c>
      <c r="I1761">
        <v>0</v>
      </c>
      <c r="J1761">
        <v>208800</v>
      </c>
      <c r="K1761">
        <v>0</v>
      </c>
      <c r="L1761">
        <v>0</v>
      </c>
    </row>
    <row r="1762" spans="1:12" x14ac:dyDescent="0.25">
      <c r="A1762" t="str">
        <f t="shared" si="27"/>
        <v>1509042181042026M12</v>
      </c>
      <c r="B1762">
        <v>51321001</v>
      </c>
      <c r="C1762">
        <v>21</v>
      </c>
      <c r="D1762">
        <v>150904</v>
      </c>
      <c r="E1762">
        <v>218104</v>
      </c>
      <c r="F1762" t="s">
        <v>115</v>
      </c>
      <c r="G1762" t="s">
        <v>74</v>
      </c>
      <c r="H1762">
        <v>417600</v>
      </c>
      <c r="I1762">
        <v>0</v>
      </c>
      <c r="J1762">
        <v>417600</v>
      </c>
      <c r="K1762">
        <v>0</v>
      </c>
      <c r="L1762">
        <v>0</v>
      </c>
    </row>
    <row r="1763" spans="1:12" x14ac:dyDescent="0.25">
      <c r="A1763" t="str">
        <f t="shared" si="27"/>
        <v>2001002190012026M02</v>
      </c>
      <c r="B1763">
        <v>51321001</v>
      </c>
      <c r="C1763">
        <v>21</v>
      </c>
      <c r="D1763">
        <v>200100</v>
      </c>
      <c r="E1763">
        <v>219001</v>
      </c>
      <c r="F1763" t="s">
        <v>115</v>
      </c>
      <c r="G1763" t="s">
        <v>64</v>
      </c>
      <c r="H1763">
        <v>0</v>
      </c>
      <c r="I1763">
        <v>0</v>
      </c>
      <c r="J1763">
        <v>0</v>
      </c>
      <c r="K1763">
        <v>0</v>
      </c>
      <c r="L1763">
        <v>0</v>
      </c>
    </row>
    <row r="1764" spans="1:12" x14ac:dyDescent="0.25">
      <c r="A1764" t="str">
        <f t="shared" si="27"/>
        <v>2001002190012026M03</v>
      </c>
      <c r="B1764">
        <v>51321001</v>
      </c>
      <c r="C1764">
        <v>21</v>
      </c>
      <c r="D1764">
        <v>200100</v>
      </c>
      <c r="E1764">
        <v>219001</v>
      </c>
      <c r="F1764" t="s">
        <v>115</v>
      </c>
      <c r="G1764" t="s">
        <v>65</v>
      </c>
      <c r="H1764">
        <v>176320</v>
      </c>
      <c r="I1764">
        <v>176320</v>
      </c>
      <c r="J1764">
        <v>0</v>
      </c>
      <c r="K1764">
        <v>0</v>
      </c>
      <c r="L1764">
        <v>0</v>
      </c>
    </row>
    <row r="1765" spans="1:12" x14ac:dyDescent="0.25">
      <c r="A1765" t="str">
        <f t="shared" si="27"/>
        <v>2001002190012026M04</v>
      </c>
      <c r="B1765">
        <v>51321001</v>
      </c>
      <c r="C1765">
        <v>21</v>
      </c>
      <c r="D1765">
        <v>200100</v>
      </c>
      <c r="E1765">
        <v>219001</v>
      </c>
      <c r="F1765" t="s">
        <v>115</v>
      </c>
      <c r="G1765" t="s">
        <v>66</v>
      </c>
      <c r="H1765">
        <v>88160</v>
      </c>
      <c r="I1765">
        <v>88160</v>
      </c>
      <c r="J1765">
        <v>0</v>
      </c>
      <c r="K1765">
        <v>0</v>
      </c>
      <c r="L1765">
        <v>0</v>
      </c>
    </row>
    <row r="1766" spans="1:12" x14ac:dyDescent="0.25">
      <c r="A1766" t="str">
        <f t="shared" si="27"/>
        <v>2001002190012026M05</v>
      </c>
      <c r="B1766">
        <v>51321001</v>
      </c>
      <c r="C1766">
        <v>21</v>
      </c>
      <c r="D1766">
        <v>200100</v>
      </c>
      <c r="E1766">
        <v>219001</v>
      </c>
      <c r="F1766" t="s">
        <v>115</v>
      </c>
      <c r="G1766" t="s">
        <v>67</v>
      </c>
      <c r="H1766">
        <v>88160</v>
      </c>
      <c r="I1766">
        <v>88160</v>
      </c>
      <c r="J1766">
        <v>0</v>
      </c>
      <c r="K1766">
        <v>0</v>
      </c>
      <c r="L1766">
        <v>0</v>
      </c>
    </row>
    <row r="1767" spans="1:12" x14ac:dyDescent="0.25">
      <c r="A1767" t="str">
        <f t="shared" si="27"/>
        <v>2001002190012026M06</v>
      </c>
      <c r="B1767">
        <v>51321001</v>
      </c>
      <c r="C1767">
        <v>21</v>
      </c>
      <c r="D1767">
        <v>200100</v>
      </c>
      <c r="E1767">
        <v>219001</v>
      </c>
      <c r="F1767" t="s">
        <v>115</v>
      </c>
      <c r="G1767" t="s">
        <v>68</v>
      </c>
      <c r="H1767">
        <v>88160</v>
      </c>
      <c r="I1767">
        <v>88160</v>
      </c>
      <c r="J1767">
        <v>0</v>
      </c>
      <c r="K1767">
        <v>0</v>
      </c>
      <c r="L1767">
        <v>0</v>
      </c>
    </row>
    <row r="1768" spans="1:12" x14ac:dyDescent="0.25">
      <c r="A1768" t="str">
        <f t="shared" si="27"/>
        <v>2001002190012026M07</v>
      </c>
      <c r="B1768">
        <v>51321001</v>
      </c>
      <c r="C1768">
        <v>21</v>
      </c>
      <c r="D1768">
        <v>200100</v>
      </c>
      <c r="E1768">
        <v>219001</v>
      </c>
      <c r="F1768" t="s">
        <v>115</v>
      </c>
      <c r="G1768" t="s">
        <v>69</v>
      </c>
      <c r="H1768">
        <v>88160</v>
      </c>
      <c r="I1768">
        <v>88160</v>
      </c>
      <c r="J1768">
        <v>0</v>
      </c>
      <c r="K1768">
        <v>0</v>
      </c>
      <c r="L1768">
        <v>0</v>
      </c>
    </row>
    <row r="1769" spans="1:12" x14ac:dyDescent="0.25">
      <c r="A1769" t="str">
        <f t="shared" si="27"/>
        <v>2001002190012026M08</v>
      </c>
      <c r="B1769">
        <v>51321001</v>
      </c>
      <c r="C1769">
        <v>21</v>
      </c>
      <c r="D1769">
        <v>200100</v>
      </c>
      <c r="E1769">
        <v>219001</v>
      </c>
      <c r="F1769" t="s">
        <v>115</v>
      </c>
      <c r="G1769" t="s">
        <v>70</v>
      </c>
      <c r="H1769">
        <v>88160</v>
      </c>
      <c r="I1769">
        <v>88160</v>
      </c>
      <c r="J1769">
        <v>0</v>
      </c>
      <c r="K1769">
        <v>0</v>
      </c>
      <c r="L1769">
        <v>0</v>
      </c>
    </row>
    <row r="1770" spans="1:12" x14ac:dyDescent="0.25">
      <c r="A1770" t="str">
        <f t="shared" si="27"/>
        <v>2001002190012026M09</v>
      </c>
      <c r="B1770">
        <v>51321001</v>
      </c>
      <c r="C1770">
        <v>21</v>
      </c>
      <c r="D1770">
        <v>200100</v>
      </c>
      <c r="E1770">
        <v>219001</v>
      </c>
      <c r="F1770" t="s">
        <v>115</v>
      </c>
      <c r="G1770" t="s">
        <v>71</v>
      </c>
      <c r="H1770">
        <v>88160</v>
      </c>
      <c r="I1770">
        <v>88160</v>
      </c>
      <c r="J1770">
        <v>0</v>
      </c>
      <c r="K1770">
        <v>0</v>
      </c>
      <c r="L1770">
        <v>0</v>
      </c>
    </row>
    <row r="1771" spans="1:12" x14ac:dyDescent="0.25">
      <c r="A1771" t="str">
        <f t="shared" si="27"/>
        <v>2001002190012026M10</v>
      </c>
      <c r="B1771">
        <v>51321001</v>
      </c>
      <c r="C1771">
        <v>21</v>
      </c>
      <c r="D1771">
        <v>200100</v>
      </c>
      <c r="E1771">
        <v>219001</v>
      </c>
      <c r="F1771" t="s">
        <v>115</v>
      </c>
      <c r="G1771" t="s">
        <v>72</v>
      </c>
      <c r="H1771">
        <v>88160</v>
      </c>
      <c r="I1771">
        <v>88160</v>
      </c>
      <c r="J1771">
        <v>0</v>
      </c>
      <c r="K1771">
        <v>0</v>
      </c>
      <c r="L1771">
        <v>0</v>
      </c>
    </row>
    <row r="1772" spans="1:12" x14ac:dyDescent="0.25">
      <c r="A1772" t="str">
        <f t="shared" si="27"/>
        <v>2001002190012026M11</v>
      </c>
      <c r="B1772">
        <v>51321001</v>
      </c>
      <c r="C1772">
        <v>21</v>
      </c>
      <c r="D1772">
        <v>200100</v>
      </c>
      <c r="E1772">
        <v>219001</v>
      </c>
      <c r="F1772" t="s">
        <v>115</v>
      </c>
      <c r="G1772" t="s">
        <v>73</v>
      </c>
      <c r="H1772">
        <v>88160</v>
      </c>
      <c r="I1772">
        <v>0</v>
      </c>
      <c r="J1772">
        <v>88160</v>
      </c>
      <c r="K1772">
        <v>0</v>
      </c>
      <c r="L1772">
        <v>0</v>
      </c>
    </row>
    <row r="1773" spans="1:12" x14ac:dyDescent="0.25">
      <c r="A1773" t="str">
        <f t="shared" si="27"/>
        <v>2001002190012026M12</v>
      </c>
      <c r="B1773">
        <v>51321001</v>
      </c>
      <c r="C1773">
        <v>21</v>
      </c>
      <c r="D1773">
        <v>200100</v>
      </c>
      <c r="E1773">
        <v>219001</v>
      </c>
      <c r="F1773" t="s">
        <v>115</v>
      </c>
      <c r="G1773" t="s">
        <v>74</v>
      </c>
      <c r="H1773">
        <v>176320</v>
      </c>
      <c r="I1773">
        <v>0</v>
      </c>
      <c r="J1773">
        <v>176320</v>
      </c>
      <c r="K1773">
        <v>0</v>
      </c>
      <c r="L1773">
        <v>0</v>
      </c>
    </row>
    <row r="1774" spans="1:12" x14ac:dyDescent="0.25">
      <c r="A1774" t="str">
        <f t="shared" si="27"/>
        <v>2002002124042026M02</v>
      </c>
      <c r="B1774">
        <v>51321001</v>
      </c>
      <c r="C1774">
        <v>21</v>
      </c>
      <c r="D1774">
        <v>200200</v>
      </c>
      <c r="E1774">
        <v>212404</v>
      </c>
      <c r="F1774" t="s">
        <v>115</v>
      </c>
      <c r="G1774" t="s">
        <v>64</v>
      </c>
      <c r="H1774">
        <v>0</v>
      </c>
      <c r="I1774">
        <v>0</v>
      </c>
      <c r="J1774">
        <v>0</v>
      </c>
      <c r="K1774">
        <v>0</v>
      </c>
      <c r="L1774">
        <v>0</v>
      </c>
    </row>
    <row r="1775" spans="1:12" x14ac:dyDescent="0.25">
      <c r="A1775" t="str">
        <f t="shared" si="27"/>
        <v>2002002124042026M03</v>
      </c>
      <c r="B1775">
        <v>51321001</v>
      </c>
      <c r="C1775">
        <v>21</v>
      </c>
      <c r="D1775">
        <v>200200</v>
      </c>
      <c r="E1775">
        <v>212404</v>
      </c>
      <c r="F1775" t="s">
        <v>115</v>
      </c>
      <c r="G1775" t="s">
        <v>65</v>
      </c>
      <c r="H1775">
        <v>19720</v>
      </c>
      <c r="I1775">
        <v>19720</v>
      </c>
      <c r="J1775">
        <v>0</v>
      </c>
      <c r="K1775">
        <v>0</v>
      </c>
      <c r="L1775">
        <v>0</v>
      </c>
    </row>
    <row r="1776" spans="1:12" x14ac:dyDescent="0.25">
      <c r="A1776" t="str">
        <f t="shared" si="27"/>
        <v>2002002124042026M04</v>
      </c>
      <c r="B1776">
        <v>51321001</v>
      </c>
      <c r="C1776">
        <v>21</v>
      </c>
      <c r="D1776">
        <v>200200</v>
      </c>
      <c r="E1776">
        <v>212404</v>
      </c>
      <c r="F1776" t="s">
        <v>115</v>
      </c>
      <c r="G1776" t="s">
        <v>66</v>
      </c>
      <c r="H1776">
        <v>9860</v>
      </c>
      <c r="I1776">
        <v>9860</v>
      </c>
      <c r="J1776">
        <v>0</v>
      </c>
      <c r="K1776">
        <v>0</v>
      </c>
      <c r="L1776">
        <v>0</v>
      </c>
    </row>
    <row r="1777" spans="1:12" x14ac:dyDescent="0.25">
      <c r="A1777" t="str">
        <f t="shared" si="27"/>
        <v>2002002124042026M05</v>
      </c>
      <c r="B1777">
        <v>51321001</v>
      </c>
      <c r="C1777">
        <v>21</v>
      </c>
      <c r="D1777">
        <v>200200</v>
      </c>
      <c r="E1777">
        <v>212404</v>
      </c>
      <c r="F1777" t="s">
        <v>115</v>
      </c>
      <c r="G1777" t="s">
        <v>67</v>
      </c>
      <c r="H1777">
        <v>9860</v>
      </c>
      <c r="I1777">
        <v>9860</v>
      </c>
      <c r="J1777">
        <v>0</v>
      </c>
      <c r="K1777">
        <v>0</v>
      </c>
      <c r="L1777">
        <v>0</v>
      </c>
    </row>
    <row r="1778" spans="1:12" x14ac:dyDescent="0.25">
      <c r="A1778" t="str">
        <f t="shared" si="27"/>
        <v>2002002124042026M06</v>
      </c>
      <c r="B1778">
        <v>51321001</v>
      </c>
      <c r="C1778">
        <v>21</v>
      </c>
      <c r="D1778">
        <v>200200</v>
      </c>
      <c r="E1778">
        <v>212404</v>
      </c>
      <c r="F1778" t="s">
        <v>115</v>
      </c>
      <c r="G1778" t="s">
        <v>68</v>
      </c>
      <c r="H1778">
        <v>9860</v>
      </c>
      <c r="I1778">
        <v>9860</v>
      </c>
      <c r="J1778">
        <v>0</v>
      </c>
      <c r="K1778">
        <v>0</v>
      </c>
      <c r="L1778">
        <v>0</v>
      </c>
    </row>
    <row r="1779" spans="1:12" x14ac:dyDescent="0.25">
      <c r="A1779" t="str">
        <f t="shared" si="27"/>
        <v>2002002124042026M07</v>
      </c>
      <c r="B1779">
        <v>51321001</v>
      </c>
      <c r="C1779">
        <v>21</v>
      </c>
      <c r="D1779">
        <v>200200</v>
      </c>
      <c r="E1779">
        <v>212404</v>
      </c>
      <c r="F1779" t="s">
        <v>115</v>
      </c>
      <c r="G1779" t="s">
        <v>69</v>
      </c>
      <c r="H1779">
        <v>9860</v>
      </c>
      <c r="I1779">
        <v>9860</v>
      </c>
      <c r="J1779">
        <v>0</v>
      </c>
      <c r="K1779">
        <v>0</v>
      </c>
      <c r="L1779">
        <v>0</v>
      </c>
    </row>
    <row r="1780" spans="1:12" x14ac:dyDescent="0.25">
      <c r="A1780" t="str">
        <f t="shared" si="27"/>
        <v>2002002124042026M08</v>
      </c>
      <c r="B1780">
        <v>51321001</v>
      </c>
      <c r="C1780">
        <v>21</v>
      </c>
      <c r="D1780">
        <v>200200</v>
      </c>
      <c r="E1780">
        <v>212404</v>
      </c>
      <c r="F1780" t="s">
        <v>115</v>
      </c>
      <c r="G1780" t="s">
        <v>70</v>
      </c>
      <c r="H1780">
        <v>9860</v>
      </c>
      <c r="I1780">
        <v>9860</v>
      </c>
      <c r="J1780">
        <v>0</v>
      </c>
      <c r="K1780">
        <v>0</v>
      </c>
      <c r="L1780">
        <v>0</v>
      </c>
    </row>
    <row r="1781" spans="1:12" x14ac:dyDescent="0.25">
      <c r="A1781" t="str">
        <f t="shared" si="27"/>
        <v>2002002124042026M09</v>
      </c>
      <c r="B1781">
        <v>51321001</v>
      </c>
      <c r="C1781">
        <v>21</v>
      </c>
      <c r="D1781">
        <v>200200</v>
      </c>
      <c r="E1781">
        <v>212404</v>
      </c>
      <c r="F1781" t="s">
        <v>115</v>
      </c>
      <c r="G1781" t="s">
        <v>71</v>
      </c>
      <c r="H1781">
        <v>9860</v>
      </c>
      <c r="I1781">
        <v>9860</v>
      </c>
      <c r="J1781">
        <v>0</v>
      </c>
      <c r="K1781">
        <v>0</v>
      </c>
      <c r="L1781">
        <v>0</v>
      </c>
    </row>
    <row r="1782" spans="1:12" x14ac:dyDescent="0.25">
      <c r="A1782" t="str">
        <f t="shared" si="27"/>
        <v>2002002124042026M10</v>
      </c>
      <c r="B1782">
        <v>51321001</v>
      </c>
      <c r="C1782">
        <v>21</v>
      </c>
      <c r="D1782">
        <v>200200</v>
      </c>
      <c r="E1782">
        <v>212404</v>
      </c>
      <c r="F1782" t="s">
        <v>115</v>
      </c>
      <c r="G1782" t="s">
        <v>72</v>
      </c>
      <c r="H1782">
        <v>9860</v>
      </c>
      <c r="I1782">
        <v>0</v>
      </c>
      <c r="J1782">
        <v>9860</v>
      </c>
      <c r="K1782">
        <v>0</v>
      </c>
      <c r="L1782">
        <v>0</v>
      </c>
    </row>
    <row r="1783" spans="1:12" x14ac:dyDescent="0.25">
      <c r="A1783" t="str">
        <f t="shared" si="27"/>
        <v>2002002124042026M11</v>
      </c>
      <c r="B1783">
        <v>51321001</v>
      </c>
      <c r="C1783">
        <v>21</v>
      </c>
      <c r="D1783">
        <v>200200</v>
      </c>
      <c r="E1783">
        <v>212404</v>
      </c>
      <c r="F1783" t="s">
        <v>115</v>
      </c>
      <c r="G1783" t="s">
        <v>73</v>
      </c>
      <c r="H1783">
        <v>9860</v>
      </c>
      <c r="I1783">
        <v>0</v>
      </c>
      <c r="J1783">
        <v>9860</v>
      </c>
      <c r="K1783">
        <v>0</v>
      </c>
      <c r="L1783">
        <v>0</v>
      </c>
    </row>
    <row r="1784" spans="1:12" x14ac:dyDescent="0.25">
      <c r="A1784" t="str">
        <f t="shared" si="27"/>
        <v>2002002124042026M12</v>
      </c>
      <c r="B1784">
        <v>51321001</v>
      </c>
      <c r="C1784">
        <v>21</v>
      </c>
      <c r="D1784">
        <v>200200</v>
      </c>
      <c r="E1784">
        <v>212404</v>
      </c>
      <c r="F1784" t="s">
        <v>115</v>
      </c>
      <c r="G1784" t="s">
        <v>74</v>
      </c>
      <c r="H1784">
        <v>19720</v>
      </c>
      <c r="I1784">
        <v>0</v>
      </c>
      <c r="J1784">
        <v>19720</v>
      </c>
      <c r="K1784">
        <v>0</v>
      </c>
      <c r="L1784">
        <v>0</v>
      </c>
    </row>
    <row r="1785" spans="1:12" x14ac:dyDescent="0.25">
      <c r="A1785" t="str">
        <f t="shared" si="27"/>
        <v>2002002124182026M02</v>
      </c>
      <c r="B1785">
        <v>51321001</v>
      </c>
      <c r="C1785">
        <v>21</v>
      </c>
      <c r="D1785">
        <v>200200</v>
      </c>
      <c r="E1785">
        <v>212418</v>
      </c>
      <c r="F1785" t="s">
        <v>115</v>
      </c>
      <c r="G1785" t="s">
        <v>64</v>
      </c>
      <c r="H1785">
        <v>0</v>
      </c>
      <c r="I1785">
        <v>0</v>
      </c>
      <c r="J1785">
        <v>0</v>
      </c>
      <c r="K1785">
        <v>0</v>
      </c>
      <c r="L1785">
        <v>0</v>
      </c>
    </row>
    <row r="1786" spans="1:12" x14ac:dyDescent="0.25">
      <c r="A1786" t="str">
        <f t="shared" si="27"/>
        <v>2002002124182026M03</v>
      </c>
      <c r="B1786">
        <v>51321001</v>
      </c>
      <c r="C1786">
        <v>21</v>
      </c>
      <c r="D1786">
        <v>200200</v>
      </c>
      <c r="E1786">
        <v>212418</v>
      </c>
      <c r="F1786" t="s">
        <v>115</v>
      </c>
      <c r="G1786" t="s">
        <v>65</v>
      </c>
      <c r="H1786">
        <v>19719.919999999998</v>
      </c>
      <c r="I1786">
        <v>19719.919999999998</v>
      </c>
      <c r="J1786">
        <v>0</v>
      </c>
      <c r="K1786">
        <v>0</v>
      </c>
      <c r="L1786">
        <v>0</v>
      </c>
    </row>
    <row r="1787" spans="1:12" x14ac:dyDescent="0.25">
      <c r="A1787" t="str">
        <f t="shared" si="27"/>
        <v>2002002124182026M04</v>
      </c>
      <c r="B1787">
        <v>51321001</v>
      </c>
      <c r="C1787">
        <v>21</v>
      </c>
      <c r="D1787">
        <v>200200</v>
      </c>
      <c r="E1787">
        <v>212418</v>
      </c>
      <c r="F1787" t="s">
        <v>115</v>
      </c>
      <c r="G1787" t="s">
        <v>66</v>
      </c>
      <c r="H1787">
        <v>9859.9599999999991</v>
      </c>
      <c r="I1787">
        <v>9859.9599999999991</v>
      </c>
      <c r="J1787">
        <v>0</v>
      </c>
      <c r="K1787">
        <v>0</v>
      </c>
      <c r="L1787">
        <v>0</v>
      </c>
    </row>
    <row r="1788" spans="1:12" x14ac:dyDescent="0.25">
      <c r="A1788" t="str">
        <f t="shared" si="27"/>
        <v>2002002124182026M05</v>
      </c>
      <c r="B1788">
        <v>51321001</v>
      </c>
      <c r="C1788">
        <v>21</v>
      </c>
      <c r="D1788">
        <v>200200</v>
      </c>
      <c r="E1788">
        <v>212418</v>
      </c>
      <c r="F1788" t="s">
        <v>115</v>
      </c>
      <c r="G1788" t="s">
        <v>67</v>
      </c>
      <c r="H1788">
        <v>9859.9599999999991</v>
      </c>
      <c r="I1788">
        <v>9859.9599999999991</v>
      </c>
      <c r="J1788">
        <v>0</v>
      </c>
      <c r="K1788">
        <v>0</v>
      </c>
      <c r="L1788">
        <v>0</v>
      </c>
    </row>
    <row r="1789" spans="1:12" x14ac:dyDescent="0.25">
      <c r="A1789" t="str">
        <f t="shared" si="27"/>
        <v>2002002124182026M06</v>
      </c>
      <c r="B1789">
        <v>51321001</v>
      </c>
      <c r="C1789">
        <v>21</v>
      </c>
      <c r="D1789">
        <v>200200</v>
      </c>
      <c r="E1789">
        <v>212418</v>
      </c>
      <c r="F1789" t="s">
        <v>115</v>
      </c>
      <c r="G1789" t="s">
        <v>68</v>
      </c>
      <c r="H1789">
        <v>9859.9599999999991</v>
      </c>
      <c r="I1789">
        <v>9859.9599999999991</v>
      </c>
      <c r="J1789">
        <v>0</v>
      </c>
      <c r="K1789">
        <v>0</v>
      </c>
      <c r="L1789">
        <v>0</v>
      </c>
    </row>
    <row r="1790" spans="1:12" x14ac:dyDescent="0.25">
      <c r="A1790" t="str">
        <f t="shared" si="27"/>
        <v>2002002124182026M07</v>
      </c>
      <c r="B1790">
        <v>51321001</v>
      </c>
      <c r="C1790">
        <v>21</v>
      </c>
      <c r="D1790">
        <v>200200</v>
      </c>
      <c r="E1790">
        <v>212418</v>
      </c>
      <c r="F1790" t="s">
        <v>115</v>
      </c>
      <c r="G1790" t="s">
        <v>69</v>
      </c>
      <c r="H1790">
        <v>9859.9599999999991</v>
      </c>
      <c r="I1790">
        <v>9859.9599999999991</v>
      </c>
      <c r="J1790">
        <v>0</v>
      </c>
      <c r="K1790">
        <v>0</v>
      </c>
      <c r="L1790">
        <v>0</v>
      </c>
    </row>
    <row r="1791" spans="1:12" x14ac:dyDescent="0.25">
      <c r="A1791" t="str">
        <f t="shared" si="27"/>
        <v>2002002124182026M08</v>
      </c>
      <c r="B1791">
        <v>51321001</v>
      </c>
      <c r="C1791">
        <v>21</v>
      </c>
      <c r="D1791">
        <v>200200</v>
      </c>
      <c r="E1791">
        <v>212418</v>
      </c>
      <c r="F1791" t="s">
        <v>115</v>
      </c>
      <c r="G1791" t="s">
        <v>70</v>
      </c>
      <c r="H1791">
        <v>9859.9599999999991</v>
      </c>
      <c r="I1791">
        <v>9859.9599999999991</v>
      </c>
      <c r="J1791">
        <v>0</v>
      </c>
      <c r="K1791">
        <v>0</v>
      </c>
      <c r="L1791">
        <v>0</v>
      </c>
    </row>
    <row r="1792" spans="1:12" x14ac:dyDescent="0.25">
      <c r="A1792" t="str">
        <f t="shared" si="27"/>
        <v>2002002124182026M09</v>
      </c>
      <c r="B1792">
        <v>51321001</v>
      </c>
      <c r="C1792">
        <v>21</v>
      </c>
      <c r="D1792">
        <v>200200</v>
      </c>
      <c r="E1792">
        <v>212418</v>
      </c>
      <c r="F1792" t="s">
        <v>115</v>
      </c>
      <c r="G1792" t="s">
        <v>71</v>
      </c>
      <c r="H1792">
        <v>9859.9599999999991</v>
      </c>
      <c r="I1792">
        <v>9859.9599999999991</v>
      </c>
      <c r="J1792">
        <v>0</v>
      </c>
      <c r="K1792">
        <v>0</v>
      </c>
      <c r="L1792">
        <v>0</v>
      </c>
    </row>
    <row r="1793" spans="1:12" x14ac:dyDescent="0.25">
      <c r="A1793" t="str">
        <f t="shared" si="27"/>
        <v>2002002124182026M10</v>
      </c>
      <c r="B1793">
        <v>51321001</v>
      </c>
      <c r="C1793">
        <v>21</v>
      </c>
      <c r="D1793">
        <v>200200</v>
      </c>
      <c r="E1793">
        <v>212418</v>
      </c>
      <c r="F1793" t="s">
        <v>115</v>
      </c>
      <c r="G1793" t="s">
        <v>72</v>
      </c>
      <c r="H1793">
        <v>11600.32</v>
      </c>
      <c r="I1793">
        <v>0</v>
      </c>
      <c r="J1793">
        <v>11600.32</v>
      </c>
      <c r="K1793">
        <v>0</v>
      </c>
      <c r="L1793">
        <v>0</v>
      </c>
    </row>
    <row r="1794" spans="1:12" x14ac:dyDescent="0.25">
      <c r="A1794" t="str">
        <f t="shared" si="27"/>
        <v>2002002124182026M11</v>
      </c>
      <c r="B1794">
        <v>51321001</v>
      </c>
      <c r="C1794">
        <v>21</v>
      </c>
      <c r="D1794">
        <v>200200</v>
      </c>
      <c r="E1794">
        <v>212418</v>
      </c>
      <c r="F1794" t="s">
        <v>115</v>
      </c>
      <c r="G1794" t="s">
        <v>73</v>
      </c>
      <c r="H1794">
        <v>11600</v>
      </c>
      <c r="I1794">
        <v>0</v>
      </c>
      <c r="J1794">
        <v>11600</v>
      </c>
      <c r="K1794">
        <v>0</v>
      </c>
      <c r="L1794">
        <v>0</v>
      </c>
    </row>
    <row r="1795" spans="1:12" x14ac:dyDescent="0.25">
      <c r="A1795" t="str">
        <f t="shared" si="27"/>
        <v>2002002124182026M12</v>
      </c>
      <c r="B1795">
        <v>51321001</v>
      </c>
      <c r="C1795">
        <v>21</v>
      </c>
      <c r="D1795">
        <v>200200</v>
      </c>
      <c r="E1795">
        <v>212418</v>
      </c>
      <c r="F1795" t="s">
        <v>115</v>
      </c>
      <c r="G1795" t="s">
        <v>74</v>
      </c>
      <c r="H1795">
        <v>23200</v>
      </c>
      <c r="I1795">
        <v>0</v>
      </c>
      <c r="J1795">
        <v>23200</v>
      </c>
      <c r="K1795">
        <v>0</v>
      </c>
      <c r="L1795">
        <v>0</v>
      </c>
    </row>
    <row r="1796" spans="1:12" x14ac:dyDescent="0.25">
      <c r="A1796" t="str">
        <f t="shared" si="27"/>
        <v>2002002127022026M02</v>
      </c>
      <c r="B1796">
        <v>51321001</v>
      </c>
      <c r="C1796">
        <v>21</v>
      </c>
      <c r="D1796">
        <v>200200</v>
      </c>
      <c r="E1796">
        <v>212702</v>
      </c>
      <c r="F1796" t="s">
        <v>115</v>
      </c>
      <c r="G1796" t="s">
        <v>64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12" x14ac:dyDescent="0.25">
      <c r="A1797" t="str">
        <f t="shared" si="27"/>
        <v>2002002127022026M03</v>
      </c>
      <c r="B1797">
        <v>51321001</v>
      </c>
      <c r="C1797">
        <v>21</v>
      </c>
      <c r="D1797">
        <v>200200</v>
      </c>
      <c r="E1797">
        <v>212702</v>
      </c>
      <c r="F1797" t="s">
        <v>115</v>
      </c>
      <c r="G1797" t="s">
        <v>65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x14ac:dyDescent="0.25">
      <c r="A1798" t="str">
        <f t="shared" si="27"/>
        <v>2002002127022026M04</v>
      </c>
      <c r="B1798">
        <v>51321001</v>
      </c>
      <c r="C1798">
        <v>21</v>
      </c>
      <c r="D1798">
        <v>200200</v>
      </c>
      <c r="E1798">
        <v>212702</v>
      </c>
      <c r="F1798" t="s">
        <v>115</v>
      </c>
      <c r="G1798" t="s">
        <v>66</v>
      </c>
      <c r="H1798">
        <v>0</v>
      </c>
      <c r="I1798">
        <v>0</v>
      </c>
      <c r="J1798">
        <v>0</v>
      </c>
      <c r="K1798">
        <v>0</v>
      </c>
      <c r="L1798">
        <v>0</v>
      </c>
    </row>
    <row r="1799" spans="1:12" x14ac:dyDescent="0.25">
      <c r="A1799" t="str">
        <f t="shared" si="27"/>
        <v>2002002127022026M05</v>
      </c>
      <c r="B1799">
        <v>51321001</v>
      </c>
      <c r="C1799">
        <v>21</v>
      </c>
      <c r="D1799">
        <v>200200</v>
      </c>
      <c r="E1799">
        <v>212702</v>
      </c>
      <c r="F1799" t="s">
        <v>115</v>
      </c>
      <c r="G1799" t="s">
        <v>67</v>
      </c>
      <c r="H1799">
        <v>0</v>
      </c>
      <c r="I1799">
        <v>0</v>
      </c>
      <c r="J1799">
        <v>0</v>
      </c>
      <c r="K1799">
        <v>0</v>
      </c>
      <c r="L1799">
        <v>0</v>
      </c>
    </row>
    <row r="1800" spans="1:12" x14ac:dyDescent="0.25">
      <c r="A1800" t="str">
        <f t="shared" si="27"/>
        <v>2002002127022026M06</v>
      </c>
      <c r="B1800">
        <v>51321001</v>
      </c>
      <c r="C1800">
        <v>21</v>
      </c>
      <c r="D1800">
        <v>200200</v>
      </c>
      <c r="E1800">
        <v>212702</v>
      </c>
      <c r="F1800" t="s">
        <v>115</v>
      </c>
      <c r="G1800" t="s">
        <v>68</v>
      </c>
      <c r="H1800">
        <v>0</v>
      </c>
      <c r="I1800">
        <v>0</v>
      </c>
      <c r="J1800">
        <v>0</v>
      </c>
      <c r="K1800">
        <v>0</v>
      </c>
      <c r="L1800">
        <v>0</v>
      </c>
    </row>
    <row r="1801" spans="1:12" x14ac:dyDescent="0.25">
      <c r="A1801" t="str">
        <f t="shared" si="27"/>
        <v>2002002127022026M07</v>
      </c>
      <c r="B1801">
        <v>51321001</v>
      </c>
      <c r="C1801">
        <v>21</v>
      </c>
      <c r="D1801">
        <v>200200</v>
      </c>
      <c r="E1801">
        <v>212702</v>
      </c>
      <c r="F1801" t="s">
        <v>115</v>
      </c>
      <c r="G1801" t="s">
        <v>69</v>
      </c>
      <c r="H1801">
        <v>0</v>
      </c>
      <c r="I1801">
        <v>0</v>
      </c>
      <c r="J1801">
        <v>0</v>
      </c>
      <c r="K1801">
        <v>0</v>
      </c>
      <c r="L1801">
        <v>0</v>
      </c>
    </row>
    <row r="1802" spans="1:12" x14ac:dyDescent="0.25">
      <c r="A1802" t="str">
        <f t="shared" si="27"/>
        <v>2002002127022026M08</v>
      </c>
      <c r="B1802">
        <v>51321001</v>
      </c>
      <c r="C1802">
        <v>21</v>
      </c>
      <c r="D1802">
        <v>200200</v>
      </c>
      <c r="E1802">
        <v>212702</v>
      </c>
      <c r="F1802" t="s">
        <v>115</v>
      </c>
      <c r="G1802" t="s">
        <v>70</v>
      </c>
      <c r="H1802">
        <v>0</v>
      </c>
      <c r="I1802">
        <v>0</v>
      </c>
      <c r="J1802">
        <v>0</v>
      </c>
      <c r="K1802">
        <v>0</v>
      </c>
      <c r="L1802">
        <v>0</v>
      </c>
    </row>
    <row r="1803" spans="1:12" x14ac:dyDescent="0.25">
      <c r="A1803" t="str">
        <f t="shared" ref="A1803:A1866" si="28">D1803&amp;E1803&amp;G1803</f>
        <v>2002002127022026M09</v>
      </c>
      <c r="B1803">
        <v>51321001</v>
      </c>
      <c r="C1803">
        <v>21</v>
      </c>
      <c r="D1803">
        <v>200200</v>
      </c>
      <c r="E1803">
        <v>212702</v>
      </c>
      <c r="F1803" t="s">
        <v>115</v>
      </c>
      <c r="G1803" t="s">
        <v>71</v>
      </c>
      <c r="H1803">
        <v>0</v>
      </c>
      <c r="I1803">
        <v>0</v>
      </c>
      <c r="J1803">
        <v>0</v>
      </c>
      <c r="K1803">
        <v>0</v>
      </c>
      <c r="L1803">
        <v>0</v>
      </c>
    </row>
    <row r="1804" spans="1:12" x14ac:dyDescent="0.25">
      <c r="A1804" t="str">
        <f t="shared" si="28"/>
        <v>2002002127022026M10</v>
      </c>
      <c r="B1804">
        <v>51321001</v>
      </c>
      <c r="C1804">
        <v>21</v>
      </c>
      <c r="D1804">
        <v>200200</v>
      </c>
      <c r="E1804">
        <v>212702</v>
      </c>
      <c r="F1804" t="s">
        <v>115</v>
      </c>
      <c r="G1804" t="s">
        <v>72</v>
      </c>
      <c r="H1804">
        <v>0</v>
      </c>
      <c r="I1804">
        <v>0</v>
      </c>
      <c r="J1804">
        <v>0</v>
      </c>
      <c r="K1804">
        <v>0</v>
      </c>
      <c r="L1804">
        <v>0</v>
      </c>
    </row>
    <row r="1805" spans="1:12" x14ac:dyDescent="0.25">
      <c r="A1805" t="str">
        <f t="shared" si="28"/>
        <v>2002002127022026M11</v>
      </c>
      <c r="B1805">
        <v>51321001</v>
      </c>
      <c r="C1805">
        <v>21</v>
      </c>
      <c r="D1805">
        <v>200200</v>
      </c>
      <c r="E1805">
        <v>212702</v>
      </c>
      <c r="F1805" t="s">
        <v>115</v>
      </c>
      <c r="G1805" t="s">
        <v>73</v>
      </c>
      <c r="H1805">
        <v>0</v>
      </c>
      <c r="I1805">
        <v>0</v>
      </c>
      <c r="J1805">
        <v>0</v>
      </c>
      <c r="K1805">
        <v>0</v>
      </c>
      <c r="L1805">
        <v>0</v>
      </c>
    </row>
    <row r="1806" spans="1:12" x14ac:dyDescent="0.25">
      <c r="A1806" t="str">
        <f t="shared" si="28"/>
        <v>2002002127022026M12</v>
      </c>
      <c r="B1806">
        <v>51321001</v>
      </c>
      <c r="C1806">
        <v>21</v>
      </c>
      <c r="D1806">
        <v>200200</v>
      </c>
      <c r="E1806">
        <v>212702</v>
      </c>
      <c r="F1806" t="s">
        <v>115</v>
      </c>
      <c r="G1806" t="s">
        <v>74</v>
      </c>
      <c r="H1806">
        <v>0</v>
      </c>
      <c r="I1806">
        <v>0</v>
      </c>
      <c r="J1806">
        <v>0</v>
      </c>
      <c r="K1806">
        <v>0</v>
      </c>
      <c r="L1806">
        <v>0</v>
      </c>
    </row>
    <row r="1807" spans="1:12" x14ac:dyDescent="0.25">
      <c r="A1807" t="str">
        <f t="shared" si="28"/>
        <v>3102032153012026M02</v>
      </c>
      <c r="B1807">
        <v>51321001</v>
      </c>
      <c r="C1807">
        <v>21</v>
      </c>
      <c r="D1807">
        <v>310203</v>
      </c>
      <c r="E1807">
        <v>215301</v>
      </c>
      <c r="F1807" t="s">
        <v>115</v>
      </c>
      <c r="G1807" t="s">
        <v>64</v>
      </c>
      <c r="H1807">
        <v>0</v>
      </c>
      <c r="I1807">
        <v>0</v>
      </c>
      <c r="J1807">
        <v>0</v>
      </c>
      <c r="K1807">
        <v>0</v>
      </c>
      <c r="L1807">
        <v>0</v>
      </c>
    </row>
    <row r="1808" spans="1:12" x14ac:dyDescent="0.25">
      <c r="A1808" t="str">
        <f t="shared" si="28"/>
        <v>3102032153012026M03</v>
      </c>
      <c r="B1808">
        <v>51321001</v>
      </c>
      <c r="C1808">
        <v>21</v>
      </c>
      <c r="D1808">
        <v>310203</v>
      </c>
      <c r="E1808">
        <v>215301</v>
      </c>
      <c r="F1808" t="s">
        <v>115</v>
      </c>
      <c r="G1808" t="s">
        <v>65</v>
      </c>
      <c r="H1808">
        <v>175646.74</v>
      </c>
      <c r="I1808">
        <v>175646.74</v>
      </c>
      <c r="J1808">
        <v>0</v>
      </c>
      <c r="K1808">
        <v>0</v>
      </c>
      <c r="L1808">
        <v>0</v>
      </c>
    </row>
    <row r="1809" spans="1:12" x14ac:dyDescent="0.25">
      <c r="A1809" t="str">
        <f t="shared" si="28"/>
        <v>3102032153012026M04</v>
      </c>
      <c r="B1809">
        <v>51321001</v>
      </c>
      <c r="C1809">
        <v>21</v>
      </c>
      <c r="D1809">
        <v>310203</v>
      </c>
      <c r="E1809">
        <v>215301</v>
      </c>
      <c r="F1809" t="s">
        <v>115</v>
      </c>
      <c r="G1809" t="s">
        <v>66</v>
      </c>
      <c r="H1809">
        <v>87823.37</v>
      </c>
      <c r="I1809">
        <v>87823.37</v>
      </c>
      <c r="J1809">
        <v>0</v>
      </c>
      <c r="K1809">
        <v>0</v>
      </c>
      <c r="L1809">
        <v>0</v>
      </c>
    </row>
    <row r="1810" spans="1:12" x14ac:dyDescent="0.25">
      <c r="A1810" t="str">
        <f t="shared" si="28"/>
        <v>3102032153012026M05</v>
      </c>
      <c r="B1810">
        <v>51321001</v>
      </c>
      <c r="C1810">
        <v>21</v>
      </c>
      <c r="D1810">
        <v>310203</v>
      </c>
      <c r="E1810">
        <v>215301</v>
      </c>
      <c r="F1810" t="s">
        <v>115</v>
      </c>
      <c r="G1810" t="s">
        <v>67</v>
      </c>
      <c r="H1810">
        <v>87823.37</v>
      </c>
      <c r="I1810">
        <v>87823.37</v>
      </c>
      <c r="J1810">
        <v>0</v>
      </c>
      <c r="K1810">
        <v>0</v>
      </c>
      <c r="L1810">
        <v>0</v>
      </c>
    </row>
    <row r="1811" spans="1:12" x14ac:dyDescent="0.25">
      <c r="A1811" t="str">
        <f t="shared" si="28"/>
        <v>3102032153012026M06</v>
      </c>
      <c r="B1811">
        <v>51321001</v>
      </c>
      <c r="C1811">
        <v>21</v>
      </c>
      <c r="D1811">
        <v>310203</v>
      </c>
      <c r="E1811">
        <v>215301</v>
      </c>
      <c r="F1811" t="s">
        <v>115</v>
      </c>
      <c r="G1811" t="s">
        <v>68</v>
      </c>
      <c r="H1811">
        <v>87823.37</v>
      </c>
      <c r="I1811">
        <v>87823.37</v>
      </c>
      <c r="J1811">
        <v>0</v>
      </c>
      <c r="K1811">
        <v>0</v>
      </c>
      <c r="L1811">
        <v>0</v>
      </c>
    </row>
    <row r="1812" spans="1:12" x14ac:dyDescent="0.25">
      <c r="A1812" t="str">
        <f t="shared" si="28"/>
        <v>3102032153012026M07</v>
      </c>
      <c r="B1812">
        <v>51321001</v>
      </c>
      <c r="C1812">
        <v>21</v>
      </c>
      <c r="D1812">
        <v>310203</v>
      </c>
      <c r="E1812">
        <v>215301</v>
      </c>
      <c r="F1812" t="s">
        <v>115</v>
      </c>
      <c r="G1812" t="s">
        <v>69</v>
      </c>
      <c r="H1812">
        <v>87823.37</v>
      </c>
      <c r="I1812">
        <v>87823.37</v>
      </c>
      <c r="J1812">
        <v>0</v>
      </c>
      <c r="K1812">
        <v>0</v>
      </c>
      <c r="L1812">
        <v>0</v>
      </c>
    </row>
    <row r="1813" spans="1:12" x14ac:dyDescent="0.25">
      <c r="A1813" t="str">
        <f t="shared" si="28"/>
        <v>3102032153012026M08</v>
      </c>
      <c r="B1813">
        <v>51321001</v>
      </c>
      <c r="C1813">
        <v>21</v>
      </c>
      <c r="D1813">
        <v>310203</v>
      </c>
      <c r="E1813">
        <v>215301</v>
      </c>
      <c r="F1813" t="s">
        <v>115</v>
      </c>
      <c r="G1813" t="s">
        <v>70</v>
      </c>
      <c r="H1813">
        <v>87823.37</v>
      </c>
      <c r="I1813">
        <v>87823.37</v>
      </c>
      <c r="J1813">
        <v>0</v>
      </c>
      <c r="K1813">
        <v>0</v>
      </c>
      <c r="L1813">
        <v>0</v>
      </c>
    </row>
    <row r="1814" spans="1:12" x14ac:dyDescent="0.25">
      <c r="A1814" t="str">
        <f t="shared" si="28"/>
        <v>3102032153012026M09</v>
      </c>
      <c r="B1814">
        <v>51321001</v>
      </c>
      <c r="C1814">
        <v>21</v>
      </c>
      <c r="D1814">
        <v>310203</v>
      </c>
      <c r="E1814">
        <v>215301</v>
      </c>
      <c r="F1814" t="s">
        <v>115</v>
      </c>
      <c r="G1814" t="s">
        <v>71</v>
      </c>
      <c r="H1814">
        <v>87823.37</v>
      </c>
      <c r="I1814">
        <v>87823.37</v>
      </c>
      <c r="J1814">
        <v>0</v>
      </c>
      <c r="K1814">
        <v>0</v>
      </c>
      <c r="L1814">
        <v>0</v>
      </c>
    </row>
    <row r="1815" spans="1:12" x14ac:dyDescent="0.25">
      <c r="A1815" t="str">
        <f t="shared" si="28"/>
        <v>3102032153012026M10</v>
      </c>
      <c r="B1815">
        <v>51321001</v>
      </c>
      <c r="C1815">
        <v>21</v>
      </c>
      <c r="D1815">
        <v>310203</v>
      </c>
      <c r="E1815">
        <v>215301</v>
      </c>
      <c r="F1815" t="s">
        <v>115</v>
      </c>
      <c r="G1815" t="s">
        <v>72</v>
      </c>
      <c r="H1815">
        <v>93098.04</v>
      </c>
      <c r="I1815">
        <v>0</v>
      </c>
      <c r="J1815">
        <v>93093.45</v>
      </c>
      <c r="K1815">
        <v>0</v>
      </c>
      <c r="L1815">
        <v>4.59</v>
      </c>
    </row>
    <row r="1816" spans="1:12" x14ac:dyDescent="0.25">
      <c r="A1816" t="str">
        <f t="shared" si="28"/>
        <v>3102032153012026M11</v>
      </c>
      <c r="B1816">
        <v>51321001</v>
      </c>
      <c r="C1816">
        <v>21</v>
      </c>
      <c r="D1816">
        <v>310203</v>
      </c>
      <c r="E1816">
        <v>215301</v>
      </c>
      <c r="F1816" t="s">
        <v>115</v>
      </c>
      <c r="G1816" t="s">
        <v>73</v>
      </c>
      <c r="H1816">
        <v>93093</v>
      </c>
      <c r="I1816">
        <v>0</v>
      </c>
      <c r="J1816">
        <v>93092.41</v>
      </c>
      <c r="K1816">
        <v>0</v>
      </c>
      <c r="L1816">
        <v>0.59</v>
      </c>
    </row>
    <row r="1817" spans="1:12" x14ac:dyDescent="0.25">
      <c r="A1817" t="str">
        <f t="shared" si="28"/>
        <v>3102032153012026M12</v>
      </c>
      <c r="B1817">
        <v>51321001</v>
      </c>
      <c r="C1817">
        <v>21</v>
      </c>
      <c r="D1817">
        <v>310203</v>
      </c>
      <c r="E1817">
        <v>215301</v>
      </c>
      <c r="F1817" t="s">
        <v>115</v>
      </c>
      <c r="G1817" t="s">
        <v>74</v>
      </c>
      <c r="H1817">
        <v>186184.97</v>
      </c>
      <c r="I1817">
        <v>0</v>
      </c>
      <c r="J1817">
        <v>186183.79</v>
      </c>
      <c r="K1817">
        <v>0</v>
      </c>
      <c r="L1817">
        <v>1.18</v>
      </c>
    </row>
    <row r="1818" spans="1:12" x14ac:dyDescent="0.25">
      <c r="A1818" t="str">
        <f t="shared" si="28"/>
        <v>3202002163012026M02</v>
      </c>
      <c r="B1818">
        <v>51321001</v>
      </c>
      <c r="C1818">
        <v>21</v>
      </c>
      <c r="D1818">
        <v>320200</v>
      </c>
      <c r="E1818">
        <v>216301</v>
      </c>
      <c r="F1818" t="s">
        <v>115</v>
      </c>
      <c r="G1818" t="s">
        <v>64</v>
      </c>
      <c r="H1818">
        <v>0</v>
      </c>
      <c r="I1818">
        <v>0</v>
      </c>
      <c r="J1818">
        <v>0</v>
      </c>
      <c r="K1818">
        <v>0</v>
      </c>
      <c r="L1818">
        <v>0</v>
      </c>
    </row>
    <row r="1819" spans="1:12" x14ac:dyDescent="0.25">
      <c r="A1819" t="str">
        <f t="shared" si="28"/>
        <v>3202002163012026M03</v>
      </c>
      <c r="B1819">
        <v>51321001</v>
      </c>
      <c r="C1819">
        <v>21</v>
      </c>
      <c r="D1819">
        <v>320200</v>
      </c>
      <c r="E1819">
        <v>216301</v>
      </c>
      <c r="F1819" t="s">
        <v>115</v>
      </c>
      <c r="G1819" t="s">
        <v>65</v>
      </c>
      <c r="H1819">
        <v>0</v>
      </c>
      <c r="I1819">
        <v>0</v>
      </c>
      <c r="J1819">
        <v>0</v>
      </c>
      <c r="K1819">
        <v>0</v>
      </c>
      <c r="L1819">
        <v>0</v>
      </c>
    </row>
    <row r="1820" spans="1:12" x14ac:dyDescent="0.25">
      <c r="A1820" t="str">
        <f t="shared" si="28"/>
        <v>3202002163012026M04</v>
      </c>
      <c r="B1820">
        <v>51321001</v>
      </c>
      <c r="C1820">
        <v>21</v>
      </c>
      <c r="D1820">
        <v>320200</v>
      </c>
      <c r="E1820">
        <v>216301</v>
      </c>
      <c r="F1820" t="s">
        <v>115</v>
      </c>
      <c r="G1820" t="s">
        <v>66</v>
      </c>
      <c r="H1820">
        <v>301600</v>
      </c>
      <c r="I1820">
        <v>301600</v>
      </c>
      <c r="J1820">
        <v>0</v>
      </c>
      <c r="K1820">
        <v>0</v>
      </c>
      <c r="L1820">
        <v>0</v>
      </c>
    </row>
    <row r="1821" spans="1:12" x14ac:dyDescent="0.25">
      <c r="A1821" t="str">
        <f t="shared" si="28"/>
        <v>3202002163012026M05</v>
      </c>
      <c r="B1821">
        <v>51321001</v>
      </c>
      <c r="C1821">
        <v>21</v>
      </c>
      <c r="D1821">
        <v>320200</v>
      </c>
      <c r="E1821">
        <v>216301</v>
      </c>
      <c r="F1821" t="s">
        <v>115</v>
      </c>
      <c r="G1821" t="s">
        <v>67</v>
      </c>
      <c r="H1821">
        <v>164640.82</v>
      </c>
      <c r="I1821">
        <v>164640.82</v>
      </c>
      <c r="J1821">
        <v>0</v>
      </c>
      <c r="K1821">
        <v>0</v>
      </c>
      <c r="L1821">
        <v>0</v>
      </c>
    </row>
    <row r="1822" spans="1:12" x14ac:dyDescent="0.25">
      <c r="A1822" t="str">
        <f t="shared" si="28"/>
        <v>3202002163012026M06</v>
      </c>
      <c r="B1822">
        <v>51321001</v>
      </c>
      <c r="C1822">
        <v>21</v>
      </c>
      <c r="D1822">
        <v>320200</v>
      </c>
      <c r="E1822">
        <v>216301</v>
      </c>
      <c r="F1822" t="s">
        <v>115</v>
      </c>
      <c r="G1822" t="s">
        <v>68</v>
      </c>
      <c r="H1822">
        <v>136959.18</v>
      </c>
      <c r="I1822">
        <v>136959.18</v>
      </c>
      <c r="J1822">
        <v>0</v>
      </c>
      <c r="K1822">
        <v>0</v>
      </c>
      <c r="L1822">
        <v>0</v>
      </c>
    </row>
    <row r="1823" spans="1:12" x14ac:dyDescent="0.25">
      <c r="A1823" t="str">
        <f t="shared" si="28"/>
        <v>3202002163012026M07</v>
      </c>
      <c r="B1823">
        <v>51321001</v>
      </c>
      <c r="C1823">
        <v>21</v>
      </c>
      <c r="D1823">
        <v>320200</v>
      </c>
      <c r="E1823">
        <v>216301</v>
      </c>
      <c r="F1823" t="s">
        <v>115</v>
      </c>
      <c r="G1823" t="s">
        <v>69</v>
      </c>
      <c r="H1823">
        <v>301599.99</v>
      </c>
      <c r="I1823">
        <v>301599.99</v>
      </c>
      <c r="J1823">
        <v>0</v>
      </c>
      <c r="K1823">
        <v>0</v>
      </c>
      <c r="L1823">
        <v>0</v>
      </c>
    </row>
    <row r="1824" spans="1:12" x14ac:dyDescent="0.25">
      <c r="A1824" t="str">
        <f t="shared" si="28"/>
        <v>3202002163012026M08</v>
      </c>
      <c r="B1824">
        <v>51321001</v>
      </c>
      <c r="C1824">
        <v>21</v>
      </c>
      <c r="D1824">
        <v>320200</v>
      </c>
      <c r="E1824">
        <v>216301</v>
      </c>
      <c r="F1824" t="s">
        <v>115</v>
      </c>
      <c r="G1824" t="s">
        <v>70</v>
      </c>
      <c r="H1824">
        <v>150800</v>
      </c>
      <c r="I1824">
        <v>150800</v>
      </c>
      <c r="J1824">
        <v>0</v>
      </c>
      <c r="K1824">
        <v>0</v>
      </c>
      <c r="L1824">
        <v>0</v>
      </c>
    </row>
    <row r="1825" spans="1:12" x14ac:dyDescent="0.25">
      <c r="A1825" t="str">
        <f t="shared" si="28"/>
        <v>3202002163012026M09</v>
      </c>
      <c r="B1825">
        <v>51321001</v>
      </c>
      <c r="C1825">
        <v>21</v>
      </c>
      <c r="D1825">
        <v>320200</v>
      </c>
      <c r="E1825">
        <v>216301</v>
      </c>
      <c r="F1825" t="s">
        <v>115</v>
      </c>
      <c r="G1825" t="s">
        <v>71</v>
      </c>
      <c r="H1825">
        <v>0</v>
      </c>
      <c r="I1825">
        <v>0</v>
      </c>
      <c r="J1825">
        <v>0</v>
      </c>
      <c r="K1825">
        <v>0</v>
      </c>
      <c r="L1825">
        <v>0</v>
      </c>
    </row>
    <row r="1826" spans="1:12" x14ac:dyDescent="0.25">
      <c r="A1826" t="str">
        <f t="shared" si="28"/>
        <v>3202002163012026M10</v>
      </c>
      <c r="B1826">
        <v>51321001</v>
      </c>
      <c r="C1826">
        <v>21</v>
      </c>
      <c r="D1826">
        <v>320200</v>
      </c>
      <c r="E1826">
        <v>216301</v>
      </c>
      <c r="F1826" t="s">
        <v>115</v>
      </c>
      <c r="G1826" t="s">
        <v>72</v>
      </c>
      <c r="H1826">
        <v>301600.01</v>
      </c>
      <c r="I1826">
        <v>301600</v>
      </c>
      <c r="J1826">
        <v>0</v>
      </c>
      <c r="K1826">
        <v>0</v>
      </c>
      <c r="L1826">
        <v>0.01</v>
      </c>
    </row>
    <row r="1827" spans="1:12" x14ac:dyDescent="0.25">
      <c r="A1827" t="str">
        <f t="shared" si="28"/>
        <v>3202002163012026M11</v>
      </c>
      <c r="B1827">
        <v>51321001</v>
      </c>
      <c r="C1827">
        <v>21</v>
      </c>
      <c r="D1827">
        <v>320200</v>
      </c>
      <c r="E1827">
        <v>216301</v>
      </c>
      <c r="F1827" t="s">
        <v>115</v>
      </c>
      <c r="G1827" t="s">
        <v>73</v>
      </c>
      <c r="H1827">
        <v>150800</v>
      </c>
      <c r="I1827">
        <v>0</v>
      </c>
      <c r="J1827">
        <v>150800</v>
      </c>
      <c r="K1827">
        <v>0</v>
      </c>
      <c r="L1827">
        <v>0</v>
      </c>
    </row>
    <row r="1828" spans="1:12" x14ac:dyDescent="0.25">
      <c r="A1828" t="str">
        <f t="shared" si="28"/>
        <v>3202002163012026M12</v>
      </c>
      <c r="B1828">
        <v>51321001</v>
      </c>
      <c r="C1828">
        <v>21</v>
      </c>
      <c r="D1828">
        <v>320200</v>
      </c>
      <c r="E1828">
        <v>216301</v>
      </c>
      <c r="F1828" t="s">
        <v>115</v>
      </c>
      <c r="G1828" t="s">
        <v>74</v>
      </c>
      <c r="H1828">
        <v>301600</v>
      </c>
      <c r="I1828">
        <v>0</v>
      </c>
      <c r="J1828">
        <v>301600</v>
      </c>
      <c r="K1828">
        <v>0</v>
      </c>
      <c r="L1828">
        <v>0</v>
      </c>
    </row>
    <row r="1829" spans="1:12" x14ac:dyDescent="0.25">
      <c r="A1829" t="str">
        <f t="shared" si="28"/>
        <v>3802002159012026M02</v>
      </c>
      <c r="B1829">
        <v>51321001</v>
      </c>
      <c r="C1829">
        <v>21</v>
      </c>
      <c r="D1829">
        <v>380200</v>
      </c>
      <c r="E1829">
        <v>215901</v>
      </c>
      <c r="F1829" t="s">
        <v>115</v>
      </c>
      <c r="G1829" t="s">
        <v>64</v>
      </c>
      <c r="H1829">
        <v>47308.02</v>
      </c>
      <c r="I1829">
        <v>47308.02</v>
      </c>
      <c r="J1829">
        <v>0</v>
      </c>
      <c r="K1829">
        <v>0</v>
      </c>
      <c r="L1829">
        <v>0</v>
      </c>
    </row>
    <row r="1830" spans="1:12" x14ac:dyDescent="0.25">
      <c r="A1830" t="str">
        <f t="shared" si="28"/>
        <v>3802002159012026M03</v>
      </c>
      <c r="B1830">
        <v>51321001</v>
      </c>
      <c r="C1830">
        <v>21</v>
      </c>
      <c r="D1830">
        <v>380200</v>
      </c>
      <c r="E1830">
        <v>215901</v>
      </c>
      <c r="F1830" t="s">
        <v>115</v>
      </c>
      <c r="G1830" t="s">
        <v>65</v>
      </c>
      <c r="H1830">
        <v>47308.02</v>
      </c>
      <c r="I1830">
        <v>47308.02</v>
      </c>
      <c r="J1830">
        <v>0</v>
      </c>
      <c r="K1830">
        <v>0</v>
      </c>
      <c r="L1830">
        <v>0</v>
      </c>
    </row>
    <row r="1831" spans="1:12" x14ac:dyDescent="0.25">
      <c r="A1831" t="str">
        <f t="shared" si="28"/>
        <v>3802002159012026M04</v>
      </c>
      <c r="B1831">
        <v>51321001</v>
      </c>
      <c r="C1831">
        <v>21</v>
      </c>
      <c r="D1831">
        <v>380200</v>
      </c>
      <c r="E1831">
        <v>215901</v>
      </c>
      <c r="F1831" t="s">
        <v>115</v>
      </c>
      <c r="G1831" t="s">
        <v>66</v>
      </c>
      <c r="H1831">
        <v>47308.02</v>
      </c>
      <c r="I1831">
        <v>47308.02</v>
      </c>
      <c r="J1831">
        <v>0</v>
      </c>
      <c r="K1831">
        <v>0</v>
      </c>
      <c r="L1831">
        <v>0</v>
      </c>
    </row>
    <row r="1832" spans="1:12" x14ac:dyDescent="0.25">
      <c r="A1832" t="str">
        <f t="shared" si="28"/>
        <v>3802002159012026M05</v>
      </c>
      <c r="B1832">
        <v>51321001</v>
      </c>
      <c r="C1832">
        <v>21</v>
      </c>
      <c r="D1832">
        <v>380200</v>
      </c>
      <c r="E1832">
        <v>215901</v>
      </c>
      <c r="F1832" t="s">
        <v>115</v>
      </c>
      <c r="G1832" t="s">
        <v>67</v>
      </c>
      <c r="H1832">
        <v>47308.02</v>
      </c>
      <c r="I1832">
        <v>47308.02</v>
      </c>
      <c r="J1832">
        <v>0</v>
      </c>
      <c r="K1832">
        <v>0</v>
      </c>
      <c r="L1832">
        <v>0</v>
      </c>
    </row>
    <row r="1833" spans="1:12" x14ac:dyDescent="0.25">
      <c r="A1833" t="str">
        <f t="shared" si="28"/>
        <v>3802002159012026M06</v>
      </c>
      <c r="B1833">
        <v>51321001</v>
      </c>
      <c r="C1833">
        <v>21</v>
      </c>
      <c r="D1833">
        <v>380200</v>
      </c>
      <c r="E1833">
        <v>215901</v>
      </c>
      <c r="F1833" t="s">
        <v>115</v>
      </c>
      <c r="G1833" t="s">
        <v>68</v>
      </c>
      <c r="H1833">
        <v>47308.02</v>
      </c>
      <c r="I1833">
        <v>47308.02</v>
      </c>
      <c r="J1833">
        <v>0</v>
      </c>
      <c r="K1833">
        <v>0</v>
      </c>
      <c r="L1833">
        <v>0</v>
      </c>
    </row>
    <row r="1834" spans="1:12" x14ac:dyDescent="0.25">
      <c r="A1834" t="str">
        <f t="shared" si="28"/>
        <v>3802002159012026M07</v>
      </c>
      <c r="B1834">
        <v>51321001</v>
      </c>
      <c r="C1834">
        <v>21</v>
      </c>
      <c r="D1834">
        <v>380200</v>
      </c>
      <c r="E1834">
        <v>215901</v>
      </c>
      <c r="F1834" t="s">
        <v>115</v>
      </c>
      <c r="G1834" t="s">
        <v>69</v>
      </c>
      <c r="H1834">
        <v>47308.02</v>
      </c>
      <c r="I1834">
        <v>47308.02</v>
      </c>
      <c r="J1834">
        <v>0</v>
      </c>
      <c r="K1834">
        <v>0</v>
      </c>
      <c r="L1834">
        <v>0</v>
      </c>
    </row>
    <row r="1835" spans="1:12" x14ac:dyDescent="0.25">
      <c r="A1835" t="str">
        <f t="shared" si="28"/>
        <v>3802002159012026M08</v>
      </c>
      <c r="B1835">
        <v>51321001</v>
      </c>
      <c r="C1835">
        <v>21</v>
      </c>
      <c r="D1835">
        <v>380200</v>
      </c>
      <c r="E1835">
        <v>215901</v>
      </c>
      <c r="F1835" t="s">
        <v>115</v>
      </c>
      <c r="G1835" t="s">
        <v>70</v>
      </c>
      <c r="H1835">
        <v>47308.02</v>
      </c>
      <c r="I1835">
        <v>47308.02</v>
      </c>
      <c r="J1835">
        <v>0</v>
      </c>
      <c r="K1835">
        <v>0</v>
      </c>
      <c r="L1835">
        <v>0</v>
      </c>
    </row>
    <row r="1836" spans="1:12" x14ac:dyDescent="0.25">
      <c r="A1836" t="str">
        <f t="shared" si="28"/>
        <v>3802002159012026M09</v>
      </c>
      <c r="B1836">
        <v>51321001</v>
      </c>
      <c r="C1836">
        <v>21</v>
      </c>
      <c r="D1836">
        <v>380200</v>
      </c>
      <c r="E1836">
        <v>215901</v>
      </c>
      <c r="F1836" t="s">
        <v>115</v>
      </c>
      <c r="G1836" t="s">
        <v>71</v>
      </c>
      <c r="H1836">
        <v>47308.02</v>
      </c>
      <c r="I1836">
        <v>47308.02</v>
      </c>
      <c r="J1836">
        <v>0</v>
      </c>
      <c r="K1836">
        <v>0</v>
      </c>
      <c r="L1836">
        <v>0</v>
      </c>
    </row>
    <row r="1837" spans="1:12" x14ac:dyDescent="0.25">
      <c r="A1837" t="str">
        <f t="shared" si="28"/>
        <v>3802002159012026M10</v>
      </c>
      <c r="B1837">
        <v>51321001</v>
      </c>
      <c r="C1837">
        <v>21</v>
      </c>
      <c r="D1837">
        <v>380200</v>
      </c>
      <c r="E1837">
        <v>215901</v>
      </c>
      <c r="F1837" t="s">
        <v>115</v>
      </c>
      <c r="G1837" t="s">
        <v>72</v>
      </c>
      <c r="H1837">
        <v>115437.84</v>
      </c>
      <c r="I1837">
        <v>47308.02</v>
      </c>
      <c r="J1837">
        <v>68120.820000000007</v>
      </c>
      <c r="K1837">
        <v>0</v>
      </c>
      <c r="L1837">
        <v>9</v>
      </c>
    </row>
    <row r="1838" spans="1:12" x14ac:dyDescent="0.25">
      <c r="A1838" t="str">
        <f t="shared" si="28"/>
        <v>3802002159012026M11</v>
      </c>
      <c r="B1838">
        <v>51321001</v>
      </c>
      <c r="C1838">
        <v>21</v>
      </c>
      <c r="D1838">
        <v>380200</v>
      </c>
      <c r="E1838">
        <v>215901</v>
      </c>
      <c r="F1838" t="s">
        <v>115</v>
      </c>
      <c r="G1838" t="s">
        <v>73</v>
      </c>
      <c r="H1838">
        <v>54878</v>
      </c>
      <c r="I1838">
        <v>0</v>
      </c>
      <c r="J1838">
        <v>54877</v>
      </c>
      <c r="K1838">
        <v>0</v>
      </c>
      <c r="L1838">
        <v>1</v>
      </c>
    </row>
    <row r="1839" spans="1:12" x14ac:dyDescent="0.25">
      <c r="A1839" t="str">
        <f t="shared" si="28"/>
        <v>3802002159012026M12</v>
      </c>
      <c r="B1839">
        <v>51321001</v>
      </c>
      <c r="C1839">
        <v>21</v>
      </c>
      <c r="D1839">
        <v>380200</v>
      </c>
      <c r="E1839">
        <v>215901</v>
      </c>
      <c r="F1839" t="s">
        <v>115</v>
      </c>
      <c r="G1839" t="s">
        <v>74</v>
      </c>
      <c r="H1839">
        <v>109757.36</v>
      </c>
      <c r="I1839">
        <v>0</v>
      </c>
      <c r="J1839">
        <v>109757.36</v>
      </c>
      <c r="K1839">
        <v>0</v>
      </c>
      <c r="L1839">
        <v>0</v>
      </c>
    </row>
    <row r="1840" spans="1:12" x14ac:dyDescent="0.25">
      <c r="A1840" t="str">
        <f t="shared" si="28"/>
        <v>3802002159032026M02</v>
      </c>
      <c r="B1840">
        <v>51321001</v>
      </c>
      <c r="C1840">
        <v>21</v>
      </c>
      <c r="D1840">
        <v>380200</v>
      </c>
      <c r="E1840">
        <v>215903</v>
      </c>
      <c r="F1840" t="s">
        <v>115</v>
      </c>
      <c r="G1840" t="s">
        <v>64</v>
      </c>
      <c r="H1840">
        <v>0</v>
      </c>
      <c r="I1840">
        <v>0</v>
      </c>
      <c r="J1840">
        <v>0</v>
      </c>
      <c r="K1840">
        <v>0</v>
      </c>
      <c r="L1840">
        <v>0</v>
      </c>
    </row>
    <row r="1841" spans="1:12" x14ac:dyDescent="0.25">
      <c r="A1841" t="str">
        <f t="shared" si="28"/>
        <v>3802002159032026M03</v>
      </c>
      <c r="B1841">
        <v>51321001</v>
      </c>
      <c r="C1841">
        <v>21</v>
      </c>
      <c r="D1841">
        <v>380200</v>
      </c>
      <c r="E1841">
        <v>215903</v>
      </c>
      <c r="F1841" t="s">
        <v>115</v>
      </c>
      <c r="G1841" t="s">
        <v>65</v>
      </c>
      <c r="H1841">
        <v>30572.62</v>
      </c>
      <c r="I1841">
        <v>30572.62</v>
      </c>
      <c r="J1841">
        <v>0</v>
      </c>
      <c r="K1841">
        <v>0</v>
      </c>
      <c r="L1841">
        <v>0</v>
      </c>
    </row>
    <row r="1842" spans="1:12" x14ac:dyDescent="0.25">
      <c r="A1842" t="str">
        <f t="shared" si="28"/>
        <v>3802002159032026M04</v>
      </c>
      <c r="B1842">
        <v>51321001</v>
      </c>
      <c r="C1842">
        <v>21</v>
      </c>
      <c r="D1842">
        <v>380200</v>
      </c>
      <c r="E1842">
        <v>215903</v>
      </c>
      <c r="F1842" t="s">
        <v>115</v>
      </c>
      <c r="G1842" t="s">
        <v>66</v>
      </c>
      <c r="H1842">
        <v>15286.31</v>
      </c>
      <c r="I1842">
        <v>15286.31</v>
      </c>
      <c r="J1842">
        <v>0</v>
      </c>
      <c r="K1842">
        <v>0</v>
      </c>
      <c r="L1842">
        <v>0</v>
      </c>
    </row>
    <row r="1843" spans="1:12" x14ac:dyDescent="0.25">
      <c r="A1843" t="str">
        <f t="shared" si="28"/>
        <v>3802002159032026M05</v>
      </c>
      <c r="B1843">
        <v>51321001</v>
      </c>
      <c r="C1843">
        <v>21</v>
      </c>
      <c r="D1843">
        <v>380200</v>
      </c>
      <c r="E1843">
        <v>215903</v>
      </c>
      <c r="F1843" t="s">
        <v>115</v>
      </c>
      <c r="G1843" t="s">
        <v>67</v>
      </c>
      <c r="H1843">
        <v>15286.31</v>
      </c>
      <c r="I1843">
        <v>15286.31</v>
      </c>
      <c r="J1843">
        <v>0</v>
      </c>
      <c r="K1843">
        <v>0</v>
      </c>
      <c r="L1843">
        <v>0</v>
      </c>
    </row>
    <row r="1844" spans="1:12" x14ac:dyDescent="0.25">
      <c r="A1844" t="str">
        <f t="shared" si="28"/>
        <v>3802002159032026M06</v>
      </c>
      <c r="B1844">
        <v>51321001</v>
      </c>
      <c r="C1844">
        <v>21</v>
      </c>
      <c r="D1844">
        <v>380200</v>
      </c>
      <c r="E1844">
        <v>215903</v>
      </c>
      <c r="F1844" t="s">
        <v>115</v>
      </c>
      <c r="G1844" t="s">
        <v>68</v>
      </c>
      <c r="H1844">
        <v>15286.31</v>
      </c>
      <c r="I1844">
        <v>15286.31</v>
      </c>
      <c r="J1844">
        <v>0</v>
      </c>
      <c r="K1844">
        <v>0</v>
      </c>
      <c r="L1844">
        <v>0</v>
      </c>
    </row>
    <row r="1845" spans="1:12" x14ac:dyDescent="0.25">
      <c r="A1845" t="str">
        <f t="shared" si="28"/>
        <v>3802002159032026M07</v>
      </c>
      <c r="B1845">
        <v>51321001</v>
      </c>
      <c r="C1845">
        <v>21</v>
      </c>
      <c r="D1845">
        <v>380200</v>
      </c>
      <c r="E1845">
        <v>215903</v>
      </c>
      <c r="F1845" t="s">
        <v>115</v>
      </c>
      <c r="G1845" t="s">
        <v>69</v>
      </c>
      <c r="H1845">
        <v>15286.31</v>
      </c>
      <c r="I1845">
        <v>15286.31</v>
      </c>
      <c r="J1845">
        <v>0</v>
      </c>
      <c r="K1845">
        <v>0</v>
      </c>
      <c r="L1845">
        <v>0</v>
      </c>
    </row>
    <row r="1846" spans="1:12" x14ac:dyDescent="0.25">
      <c r="A1846" t="str">
        <f t="shared" si="28"/>
        <v>3802002159032026M08</v>
      </c>
      <c r="B1846">
        <v>51321001</v>
      </c>
      <c r="C1846">
        <v>21</v>
      </c>
      <c r="D1846">
        <v>380200</v>
      </c>
      <c r="E1846">
        <v>215903</v>
      </c>
      <c r="F1846" t="s">
        <v>115</v>
      </c>
      <c r="G1846" t="s">
        <v>70</v>
      </c>
      <c r="H1846">
        <v>15286.31</v>
      </c>
      <c r="I1846">
        <v>15286.31</v>
      </c>
      <c r="J1846">
        <v>0</v>
      </c>
      <c r="K1846">
        <v>0</v>
      </c>
      <c r="L1846">
        <v>0</v>
      </c>
    </row>
    <row r="1847" spans="1:12" x14ac:dyDescent="0.25">
      <c r="A1847" t="str">
        <f t="shared" si="28"/>
        <v>3802002159032026M09</v>
      </c>
      <c r="B1847">
        <v>51321001</v>
      </c>
      <c r="C1847">
        <v>21</v>
      </c>
      <c r="D1847">
        <v>380200</v>
      </c>
      <c r="E1847">
        <v>215903</v>
      </c>
      <c r="F1847" t="s">
        <v>115</v>
      </c>
      <c r="G1847" t="s">
        <v>71</v>
      </c>
      <c r="H1847">
        <v>15286.31</v>
      </c>
      <c r="I1847">
        <v>15286.31</v>
      </c>
      <c r="J1847">
        <v>0</v>
      </c>
      <c r="K1847">
        <v>0</v>
      </c>
      <c r="L1847">
        <v>0</v>
      </c>
    </row>
    <row r="1848" spans="1:12" x14ac:dyDescent="0.25">
      <c r="A1848" t="str">
        <f t="shared" si="28"/>
        <v>3802002159032026M10</v>
      </c>
      <c r="B1848">
        <v>51321001</v>
      </c>
      <c r="C1848">
        <v>21</v>
      </c>
      <c r="D1848">
        <v>380200</v>
      </c>
      <c r="E1848">
        <v>215903</v>
      </c>
      <c r="F1848" t="s">
        <v>115</v>
      </c>
      <c r="G1848" t="s">
        <v>72</v>
      </c>
      <c r="H1848">
        <v>37306.519999999997</v>
      </c>
      <c r="I1848">
        <v>15286.31</v>
      </c>
      <c r="J1848">
        <v>22011.21</v>
      </c>
      <c r="K1848">
        <v>0</v>
      </c>
      <c r="L1848">
        <v>9</v>
      </c>
    </row>
    <row r="1849" spans="1:12" x14ac:dyDescent="0.25">
      <c r="A1849" t="str">
        <f t="shared" si="28"/>
        <v>3802002159032026M11</v>
      </c>
      <c r="B1849">
        <v>51321001</v>
      </c>
      <c r="C1849">
        <v>21</v>
      </c>
      <c r="D1849">
        <v>380200</v>
      </c>
      <c r="E1849">
        <v>215903</v>
      </c>
      <c r="F1849" t="s">
        <v>115</v>
      </c>
      <c r="G1849" t="s">
        <v>73</v>
      </c>
      <c r="H1849">
        <v>17733</v>
      </c>
      <c r="I1849">
        <v>0</v>
      </c>
      <c r="J1849">
        <v>17732</v>
      </c>
      <c r="K1849">
        <v>0</v>
      </c>
      <c r="L1849">
        <v>1</v>
      </c>
    </row>
    <row r="1850" spans="1:12" x14ac:dyDescent="0.25">
      <c r="A1850" t="str">
        <f t="shared" si="28"/>
        <v>3802002159032026M12</v>
      </c>
      <c r="B1850">
        <v>51321001</v>
      </c>
      <c r="C1850">
        <v>21</v>
      </c>
      <c r="D1850">
        <v>380200</v>
      </c>
      <c r="E1850">
        <v>215903</v>
      </c>
      <c r="F1850" t="s">
        <v>115</v>
      </c>
      <c r="G1850" t="s">
        <v>74</v>
      </c>
      <c r="H1850">
        <v>35465.440000000002</v>
      </c>
      <c r="I1850">
        <v>0</v>
      </c>
      <c r="J1850">
        <v>35465.440000000002</v>
      </c>
      <c r="K1850">
        <v>0</v>
      </c>
      <c r="L1850">
        <v>0</v>
      </c>
    </row>
    <row r="1851" spans="1:12" x14ac:dyDescent="0.25">
      <c r="A1851" t="str">
        <f t="shared" si="28"/>
        <v>3802002159042026M02</v>
      </c>
      <c r="B1851">
        <v>51321001</v>
      </c>
      <c r="C1851">
        <v>21</v>
      </c>
      <c r="D1851">
        <v>380200</v>
      </c>
      <c r="E1851">
        <v>215904</v>
      </c>
      <c r="F1851" t="s">
        <v>115</v>
      </c>
      <c r="G1851" t="s">
        <v>64</v>
      </c>
      <c r="H1851">
        <v>20999.99</v>
      </c>
      <c r="I1851">
        <v>20999.99</v>
      </c>
      <c r="J1851">
        <v>0</v>
      </c>
      <c r="K1851">
        <v>0</v>
      </c>
      <c r="L1851">
        <v>0</v>
      </c>
    </row>
    <row r="1852" spans="1:12" x14ac:dyDescent="0.25">
      <c r="A1852" t="str">
        <f t="shared" si="28"/>
        <v>3802002159042026M03</v>
      </c>
      <c r="B1852">
        <v>51321001</v>
      </c>
      <c r="C1852">
        <v>21</v>
      </c>
      <c r="D1852">
        <v>380200</v>
      </c>
      <c r="E1852">
        <v>215904</v>
      </c>
      <c r="F1852" t="s">
        <v>115</v>
      </c>
      <c r="G1852" t="s">
        <v>65</v>
      </c>
      <c r="H1852">
        <v>20999.99</v>
      </c>
      <c r="I1852">
        <v>20999.99</v>
      </c>
      <c r="J1852">
        <v>0</v>
      </c>
      <c r="K1852">
        <v>0</v>
      </c>
      <c r="L1852">
        <v>0</v>
      </c>
    </row>
    <row r="1853" spans="1:12" x14ac:dyDescent="0.25">
      <c r="A1853" t="str">
        <f t="shared" si="28"/>
        <v>3802002159042026M04</v>
      </c>
      <c r="B1853">
        <v>51321001</v>
      </c>
      <c r="C1853">
        <v>21</v>
      </c>
      <c r="D1853">
        <v>380200</v>
      </c>
      <c r="E1853">
        <v>215904</v>
      </c>
      <c r="F1853" t="s">
        <v>115</v>
      </c>
      <c r="G1853" t="s">
        <v>66</v>
      </c>
      <c r="H1853">
        <v>20999.99</v>
      </c>
      <c r="I1853">
        <v>20999.99</v>
      </c>
      <c r="J1853">
        <v>0</v>
      </c>
      <c r="K1853">
        <v>0</v>
      </c>
      <c r="L1853">
        <v>0</v>
      </c>
    </row>
    <row r="1854" spans="1:12" x14ac:dyDescent="0.25">
      <c r="A1854" t="str">
        <f t="shared" si="28"/>
        <v>3802002159042026M05</v>
      </c>
      <c r="B1854">
        <v>51321001</v>
      </c>
      <c r="C1854">
        <v>21</v>
      </c>
      <c r="D1854">
        <v>380200</v>
      </c>
      <c r="E1854">
        <v>215904</v>
      </c>
      <c r="F1854" t="s">
        <v>115</v>
      </c>
      <c r="G1854" t="s">
        <v>67</v>
      </c>
      <c r="H1854">
        <v>20999.99</v>
      </c>
      <c r="I1854">
        <v>20999.99</v>
      </c>
      <c r="J1854">
        <v>0</v>
      </c>
      <c r="K1854">
        <v>0</v>
      </c>
      <c r="L1854">
        <v>0</v>
      </c>
    </row>
    <row r="1855" spans="1:12" x14ac:dyDescent="0.25">
      <c r="A1855" t="str">
        <f t="shared" si="28"/>
        <v>3802002159042026M06</v>
      </c>
      <c r="B1855">
        <v>51321001</v>
      </c>
      <c r="C1855">
        <v>21</v>
      </c>
      <c r="D1855">
        <v>380200</v>
      </c>
      <c r="E1855">
        <v>215904</v>
      </c>
      <c r="F1855" t="s">
        <v>115</v>
      </c>
      <c r="G1855" t="s">
        <v>68</v>
      </c>
      <c r="H1855">
        <v>20999.99</v>
      </c>
      <c r="I1855">
        <v>20999.99</v>
      </c>
      <c r="J1855">
        <v>0</v>
      </c>
      <c r="K1855">
        <v>0</v>
      </c>
      <c r="L1855">
        <v>0</v>
      </c>
    </row>
    <row r="1856" spans="1:12" x14ac:dyDescent="0.25">
      <c r="A1856" t="str">
        <f t="shared" si="28"/>
        <v>3802002159042026M07</v>
      </c>
      <c r="B1856">
        <v>51321001</v>
      </c>
      <c r="C1856">
        <v>21</v>
      </c>
      <c r="D1856">
        <v>380200</v>
      </c>
      <c r="E1856">
        <v>215904</v>
      </c>
      <c r="F1856" t="s">
        <v>115</v>
      </c>
      <c r="G1856" t="s">
        <v>69</v>
      </c>
      <c r="H1856">
        <v>20999.99</v>
      </c>
      <c r="I1856">
        <v>20999.99</v>
      </c>
      <c r="J1856">
        <v>0</v>
      </c>
      <c r="K1856">
        <v>0</v>
      </c>
      <c r="L1856">
        <v>0</v>
      </c>
    </row>
    <row r="1857" spans="1:12" x14ac:dyDescent="0.25">
      <c r="A1857" t="str">
        <f t="shared" si="28"/>
        <v>3802002159042026M08</v>
      </c>
      <c r="B1857">
        <v>51321001</v>
      </c>
      <c r="C1857">
        <v>21</v>
      </c>
      <c r="D1857">
        <v>380200</v>
      </c>
      <c r="E1857">
        <v>215904</v>
      </c>
      <c r="F1857" t="s">
        <v>115</v>
      </c>
      <c r="G1857" t="s">
        <v>70</v>
      </c>
      <c r="H1857">
        <v>20999.99</v>
      </c>
      <c r="I1857">
        <v>20999.99</v>
      </c>
      <c r="J1857">
        <v>0</v>
      </c>
      <c r="K1857">
        <v>0</v>
      </c>
      <c r="L1857">
        <v>0</v>
      </c>
    </row>
    <row r="1858" spans="1:12" x14ac:dyDescent="0.25">
      <c r="A1858" t="str">
        <f t="shared" si="28"/>
        <v>3802002159042026M09</v>
      </c>
      <c r="B1858">
        <v>51321001</v>
      </c>
      <c r="C1858">
        <v>21</v>
      </c>
      <c r="D1858">
        <v>380200</v>
      </c>
      <c r="E1858">
        <v>215904</v>
      </c>
      <c r="F1858" t="s">
        <v>115</v>
      </c>
      <c r="G1858" t="s">
        <v>71</v>
      </c>
      <c r="H1858">
        <v>20999.99</v>
      </c>
      <c r="I1858">
        <v>20999.99</v>
      </c>
      <c r="J1858">
        <v>0</v>
      </c>
      <c r="K1858">
        <v>0</v>
      </c>
      <c r="L1858">
        <v>0</v>
      </c>
    </row>
    <row r="1859" spans="1:12" x14ac:dyDescent="0.25">
      <c r="A1859" t="str">
        <f t="shared" si="28"/>
        <v>3802002159042026M10</v>
      </c>
      <c r="B1859">
        <v>51321001</v>
      </c>
      <c r="C1859">
        <v>21</v>
      </c>
      <c r="D1859">
        <v>380200</v>
      </c>
      <c r="E1859">
        <v>215904</v>
      </c>
      <c r="F1859" t="s">
        <v>115</v>
      </c>
      <c r="G1859" t="s">
        <v>72</v>
      </c>
      <c r="H1859">
        <v>51240.08</v>
      </c>
      <c r="I1859">
        <v>20999.99</v>
      </c>
      <c r="J1859">
        <v>30240.09</v>
      </c>
      <c r="K1859">
        <v>0</v>
      </c>
      <c r="L1859">
        <v>0</v>
      </c>
    </row>
    <row r="1860" spans="1:12" x14ac:dyDescent="0.25">
      <c r="A1860" t="str">
        <f t="shared" si="28"/>
        <v>3802002159042026M11</v>
      </c>
      <c r="B1860">
        <v>51321001</v>
      </c>
      <c r="C1860">
        <v>21</v>
      </c>
      <c r="D1860">
        <v>380200</v>
      </c>
      <c r="E1860">
        <v>215904</v>
      </c>
      <c r="F1860" t="s">
        <v>115</v>
      </c>
      <c r="G1860" t="s">
        <v>73</v>
      </c>
      <c r="H1860">
        <v>24360</v>
      </c>
      <c r="I1860">
        <v>0</v>
      </c>
      <c r="J1860">
        <v>24360</v>
      </c>
      <c r="K1860">
        <v>0</v>
      </c>
      <c r="L1860">
        <v>0</v>
      </c>
    </row>
    <row r="1861" spans="1:12" x14ac:dyDescent="0.25">
      <c r="A1861" t="str">
        <f t="shared" si="28"/>
        <v>3802002159042026M12</v>
      </c>
      <c r="B1861">
        <v>51321001</v>
      </c>
      <c r="C1861">
        <v>21</v>
      </c>
      <c r="D1861">
        <v>380200</v>
      </c>
      <c r="E1861">
        <v>215904</v>
      </c>
      <c r="F1861" t="s">
        <v>115</v>
      </c>
      <c r="G1861" t="s">
        <v>74</v>
      </c>
      <c r="H1861">
        <v>48720</v>
      </c>
      <c r="I1861">
        <v>0</v>
      </c>
      <c r="J1861">
        <v>48720</v>
      </c>
      <c r="K1861">
        <v>0</v>
      </c>
      <c r="L1861">
        <v>0</v>
      </c>
    </row>
    <row r="1862" spans="1:12" x14ac:dyDescent="0.25">
      <c r="A1862" t="str">
        <f t="shared" si="28"/>
        <v>3802002159062026M02</v>
      </c>
      <c r="B1862">
        <v>51321001</v>
      </c>
      <c r="C1862">
        <v>21</v>
      </c>
      <c r="D1862">
        <v>380200</v>
      </c>
      <c r="E1862">
        <v>215906</v>
      </c>
      <c r="F1862" t="s">
        <v>115</v>
      </c>
      <c r="G1862" t="s">
        <v>64</v>
      </c>
      <c r="H1862">
        <v>0</v>
      </c>
      <c r="I1862">
        <v>0</v>
      </c>
      <c r="J1862">
        <v>0</v>
      </c>
      <c r="K1862">
        <v>0</v>
      </c>
      <c r="L1862">
        <v>0</v>
      </c>
    </row>
    <row r="1863" spans="1:12" x14ac:dyDescent="0.25">
      <c r="A1863" t="str">
        <f t="shared" si="28"/>
        <v>3802002159062026M03</v>
      </c>
      <c r="B1863">
        <v>51321001</v>
      </c>
      <c r="C1863">
        <v>21</v>
      </c>
      <c r="D1863">
        <v>380200</v>
      </c>
      <c r="E1863">
        <v>215906</v>
      </c>
      <c r="F1863" t="s">
        <v>115</v>
      </c>
      <c r="G1863" t="s">
        <v>65</v>
      </c>
      <c r="H1863">
        <v>50000.04</v>
      </c>
      <c r="I1863">
        <v>50000.04</v>
      </c>
      <c r="J1863">
        <v>0</v>
      </c>
      <c r="K1863">
        <v>0</v>
      </c>
      <c r="L1863">
        <v>0</v>
      </c>
    </row>
    <row r="1864" spans="1:12" x14ac:dyDescent="0.25">
      <c r="A1864" t="str">
        <f t="shared" si="28"/>
        <v>3802002159062026M04</v>
      </c>
      <c r="B1864">
        <v>51321001</v>
      </c>
      <c r="C1864">
        <v>21</v>
      </c>
      <c r="D1864">
        <v>380200</v>
      </c>
      <c r="E1864">
        <v>215906</v>
      </c>
      <c r="F1864" t="s">
        <v>115</v>
      </c>
      <c r="G1864" t="s">
        <v>66</v>
      </c>
      <c r="H1864">
        <v>25000.02</v>
      </c>
      <c r="I1864">
        <v>25000.02</v>
      </c>
      <c r="J1864">
        <v>0</v>
      </c>
      <c r="K1864">
        <v>0</v>
      </c>
      <c r="L1864">
        <v>0</v>
      </c>
    </row>
    <row r="1865" spans="1:12" x14ac:dyDescent="0.25">
      <c r="A1865" t="str">
        <f t="shared" si="28"/>
        <v>3802002159062026M05</v>
      </c>
      <c r="B1865">
        <v>51321001</v>
      </c>
      <c r="C1865">
        <v>21</v>
      </c>
      <c r="D1865">
        <v>380200</v>
      </c>
      <c r="E1865">
        <v>215906</v>
      </c>
      <c r="F1865" t="s">
        <v>115</v>
      </c>
      <c r="G1865" t="s">
        <v>67</v>
      </c>
      <c r="H1865">
        <v>25000.02</v>
      </c>
      <c r="I1865">
        <v>25000.02</v>
      </c>
      <c r="J1865">
        <v>0</v>
      </c>
      <c r="K1865">
        <v>0</v>
      </c>
      <c r="L1865">
        <v>0</v>
      </c>
    </row>
    <row r="1866" spans="1:12" x14ac:dyDescent="0.25">
      <c r="A1866" t="str">
        <f t="shared" si="28"/>
        <v>3802002159062026M06</v>
      </c>
      <c r="B1866">
        <v>51321001</v>
      </c>
      <c r="C1866">
        <v>21</v>
      </c>
      <c r="D1866">
        <v>380200</v>
      </c>
      <c r="E1866">
        <v>215906</v>
      </c>
      <c r="F1866" t="s">
        <v>115</v>
      </c>
      <c r="G1866" t="s">
        <v>68</v>
      </c>
      <c r="H1866">
        <v>25000.02</v>
      </c>
      <c r="I1866">
        <v>25000.02</v>
      </c>
      <c r="J1866">
        <v>0</v>
      </c>
      <c r="K1866">
        <v>0</v>
      </c>
      <c r="L1866">
        <v>0</v>
      </c>
    </row>
    <row r="1867" spans="1:12" x14ac:dyDescent="0.25">
      <c r="A1867" t="str">
        <f t="shared" ref="A1867:A1930" si="29">D1867&amp;E1867&amp;G1867</f>
        <v>3802002159062026M07</v>
      </c>
      <c r="B1867">
        <v>51321001</v>
      </c>
      <c r="C1867">
        <v>21</v>
      </c>
      <c r="D1867">
        <v>380200</v>
      </c>
      <c r="E1867">
        <v>215906</v>
      </c>
      <c r="F1867" t="s">
        <v>115</v>
      </c>
      <c r="G1867" t="s">
        <v>69</v>
      </c>
      <c r="H1867">
        <v>25000.02</v>
      </c>
      <c r="I1867">
        <v>25000.02</v>
      </c>
      <c r="J1867">
        <v>0</v>
      </c>
      <c r="K1867">
        <v>0</v>
      </c>
      <c r="L1867">
        <v>0</v>
      </c>
    </row>
    <row r="1868" spans="1:12" x14ac:dyDescent="0.25">
      <c r="A1868" t="str">
        <f t="shared" si="29"/>
        <v>3802002159062026M08</v>
      </c>
      <c r="B1868">
        <v>51321001</v>
      </c>
      <c r="C1868">
        <v>21</v>
      </c>
      <c r="D1868">
        <v>380200</v>
      </c>
      <c r="E1868">
        <v>215906</v>
      </c>
      <c r="F1868" t="s">
        <v>115</v>
      </c>
      <c r="G1868" t="s">
        <v>70</v>
      </c>
      <c r="H1868">
        <v>25000.02</v>
      </c>
      <c r="I1868">
        <v>25000.02</v>
      </c>
      <c r="J1868">
        <v>0</v>
      </c>
      <c r="K1868">
        <v>0</v>
      </c>
      <c r="L1868">
        <v>0</v>
      </c>
    </row>
    <row r="1869" spans="1:12" x14ac:dyDescent="0.25">
      <c r="A1869" t="str">
        <f t="shared" si="29"/>
        <v>3802002159062026M09</v>
      </c>
      <c r="B1869">
        <v>51321001</v>
      </c>
      <c r="C1869">
        <v>21</v>
      </c>
      <c r="D1869">
        <v>380200</v>
      </c>
      <c r="E1869">
        <v>215906</v>
      </c>
      <c r="F1869" t="s">
        <v>115</v>
      </c>
      <c r="G1869" t="s">
        <v>71</v>
      </c>
      <c r="H1869">
        <v>25000.02</v>
      </c>
      <c r="I1869">
        <v>25000.02</v>
      </c>
      <c r="J1869">
        <v>0</v>
      </c>
      <c r="K1869">
        <v>0</v>
      </c>
      <c r="L1869">
        <v>0</v>
      </c>
    </row>
    <row r="1870" spans="1:12" x14ac:dyDescent="0.25">
      <c r="A1870" t="str">
        <f t="shared" si="29"/>
        <v>3802002159062026M10</v>
      </c>
      <c r="B1870">
        <v>51321001</v>
      </c>
      <c r="C1870">
        <v>21</v>
      </c>
      <c r="D1870">
        <v>380200</v>
      </c>
      <c r="E1870">
        <v>215906</v>
      </c>
      <c r="F1870" t="s">
        <v>115</v>
      </c>
      <c r="G1870" t="s">
        <v>72</v>
      </c>
      <c r="H1870">
        <v>63319.839999999997</v>
      </c>
      <c r="I1870">
        <v>0</v>
      </c>
      <c r="J1870">
        <v>63319.839999999997</v>
      </c>
      <c r="K1870">
        <v>0</v>
      </c>
      <c r="L1870">
        <v>0</v>
      </c>
    </row>
    <row r="1871" spans="1:12" x14ac:dyDescent="0.25">
      <c r="A1871" t="str">
        <f t="shared" si="29"/>
        <v>3802002159062026M11</v>
      </c>
      <c r="B1871">
        <v>51321001</v>
      </c>
      <c r="C1871">
        <v>21</v>
      </c>
      <c r="D1871">
        <v>380200</v>
      </c>
      <c r="E1871">
        <v>215906</v>
      </c>
      <c r="F1871" t="s">
        <v>115</v>
      </c>
      <c r="G1871" t="s">
        <v>73</v>
      </c>
      <c r="H1871">
        <v>31320</v>
      </c>
      <c r="I1871">
        <v>0</v>
      </c>
      <c r="J1871">
        <v>31320</v>
      </c>
      <c r="K1871">
        <v>0</v>
      </c>
      <c r="L1871">
        <v>0</v>
      </c>
    </row>
    <row r="1872" spans="1:12" x14ac:dyDescent="0.25">
      <c r="A1872" t="str">
        <f t="shared" si="29"/>
        <v>3802002159062026M12</v>
      </c>
      <c r="B1872">
        <v>51321001</v>
      </c>
      <c r="C1872">
        <v>21</v>
      </c>
      <c r="D1872">
        <v>380200</v>
      </c>
      <c r="E1872">
        <v>215906</v>
      </c>
      <c r="F1872" t="s">
        <v>115</v>
      </c>
      <c r="G1872" t="s">
        <v>74</v>
      </c>
      <c r="H1872">
        <v>62640</v>
      </c>
      <c r="I1872">
        <v>0</v>
      </c>
      <c r="J1872">
        <v>62640</v>
      </c>
      <c r="K1872">
        <v>0</v>
      </c>
      <c r="L1872">
        <v>0</v>
      </c>
    </row>
    <row r="1873" spans="1:12" x14ac:dyDescent="0.25">
      <c r="A1873" t="str">
        <f t="shared" si="29"/>
        <v>3802002159072026M02</v>
      </c>
      <c r="B1873">
        <v>51321001</v>
      </c>
      <c r="C1873">
        <v>21</v>
      </c>
      <c r="D1873">
        <v>380200</v>
      </c>
      <c r="E1873">
        <v>215907</v>
      </c>
      <c r="F1873" t="s">
        <v>115</v>
      </c>
      <c r="G1873" t="s">
        <v>64</v>
      </c>
      <c r="H1873">
        <v>12798</v>
      </c>
      <c r="I1873">
        <v>12798</v>
      </c>
      <c r="J1873">
        <v>0</v>
      </c>
      <c r="K1873">
        <v>0</v>
      </c>
      <c r="L1873">
        <v>0</v>
      </c>
    </row>
    <row r="1874" spans="1:12" x14ac:dyDescent="0.25">
      <c r="A1874" t="str">
        <f t="shared" si="29"/>
        <v>3802002159072026M03</v>
      </c>
      <c r="B1874">
        <v>51321001</v>
      </c>
      <c r="C1874">
        <v>21</v>
      </c>
      <c r="D1874">
        <v>380200</v>
      </c>
      <c r="E1874">
        <v>215907</v>
      </c>
      <c r="F1874" t="s">
        <v>115</v>
      </c>
      <c r="G1874" t="s">
        <v>65</v>
      </c>
      <c r="H1874">
        <v>12798</v>
      </c>
      <c r="I1874">
        <v>12798</v>
      </c>
      <c r="J1874">
        <v>0</v>
      </c>
      <c r="K1874">
        <v>0</v>
      </c>
      <c r="L1874">
        <v>0</v>
      </c>
    </row>
    <row r="1875" spans="1:12" x14ac:dyDescent="0.25">
      <c r="A1875" t="str">
        <f t="shared" si="29"/>
        <v>3802002159072026M04</v>
      </c>
      <c r="B1875">
        <v>51321001</v>
      </c>
      <c r="C1875">
        <v>21</v>
      </c>
      <c r="D1875">
        <v>380200</v>
      </c>
      <c r="E1875">
        <v>215907</v>
      </c>
      <c r="F1875" t="s">
        <v>115</v>
      </c>
      <c r="G1875" t="s">
        <v>66</v>
      </c>
      <c r="H1875">
        <v>12798</v>
      </c>
      <c r="I1875">
        <v>12798</v>
      </c>
      <c r="J1875">
        <v>0</v>
      </c>
      <c r="K1875">
        <v>0</v>
      </c>
      <c r="L1875">
        <v>0</v>
      </c>
    </row>
    <row r="1876" spans="1:12" x14ac:dyDescent="0.25">
      <c r="A1876" t="str">
        <f t="shared" si="29"/>
        <v>3802002159072026M05</v>
      </c>
      <c r="B1876">
        <v>51321001</v>
      </c>
      <c r="C1876">
        <v>21</v>
      </c>
      <c r="D1876">
        <v>380200</v>
      </c>
      <c r="E1876">
        <v>215907</v>
      </c>
      <c r="F1876" t="s">
        <v>115</v>
      </c>
      <c r="G1876" t="s">
        <v>67</v>
      </c>
      <c r="H1876">
        <v>12798</v>
      </c>
      <c r="I1876">
        <v>12798</v>
      </c>
      <c r="J1876">
        <v>0</v>
      </c>
      <c r="K1876">
        <v>0</v>
      </c>
      <c r="L1876">
        <v>0</v>
      </c>
    </row>
    <row r="1877" spans="1:12" x14ac:dyDescent="0.25">
      <c r="A1877" t="str">
        <f t="shared" si="29"/>
        <v>3802002159072026M06</v>
      </c>
      <c r="B1877">
        <v>51321001</v>
      </c>
      <c r="C1877">
        <v>21</v>
      </c>
      <c r="D1877">
        <v>380200</v>
      </c>
      <c r="E1877">
        <v>215907</v>
      </c>
      <c r="F1877" t="s">
        <v>115</v>
      </c>
      <c r="G1877" t="s">
        <v>68</v>
      </c>
      <c r="H1877">
        <v>12798</v>
      </c>
      <c r="I1877">
        <v>12798</v>
      </c>
      <c r="J1877">
        <v>0</v>
      </c>
      <c r="K1877">
        <v>0</v>
      </c>
      <c r="L1877">
        <v>0</v>
      </c>
    </row>
    <row r="1878" spans="1:12" x14ac:dyDescent="0.25">
      <c r="A1878" t="str">
        <f t="shared" si="29"/>
        <v>3802002159072026M07</v>
      </c>
      <c r="B1878">
        <v>51321001</v>
      </c>
      <c r="C1878">
        <v>21</v>
      </c>
      <c r="D1878">
        <v>380200</v>
      </c>
      <c r="E1878">
        <v>215907</v>
      </c>
      <c r="F1878" t="s">
        <v>115</v>
      </c>
      <c r="G1878" t="s">
        <v>69</v>
      </c>
      <c r="H1878">
        <v>12798</v>
      </c>
      <c r="I1878">
        <v>12798</v>
      </c>
      <c r="J1878">
        <v>0</v>
      </c>
      <c r="K1878">
        <v>0</v>
      </c>
      <c r="L1878">
        <v>0</v>
      </c>
    </row>
    <row r="1879" spans="1:12" x14ac:dyDescent="0.25">
      <c r="A1879" t="str">
        <f t="shared" si="29"/>
        <v>3802002159072026M08</v>
      </c>
      <c r="B1879">
        <v>51321001</v>
      </c>
      <c r="C1879">
        <v>21</v>
      </c>
      <c r="D1879">
        <v>380200</v>
      </c>
      <c r="E1879">
        <v>215907</v>
      </c>
      <c r="F1879" t="s">
        <v>115</v>
      </c>
      <c r="G1879" t="s">
        <v>70</v>
      </c>
      <c r="H1879">
        <v>12798</v>
      </c>
      <c r="I1879">
        <v>12798</v>
      </c>
      <c r="J1879">
        <v>0</v>
      </c>
      <c r="K1879">
        <v>0</v>
      </c>
      <c r="L1879">
        <v>0</v>
      </c>
    </row>
    <row r="1880" spans="1:12" x14ac:dyDescent="0.25">
      <c r="A1880" t="str">
        <f t="shared" si="29"/>
        <v>3802002159072026M09</v>
      </c>
      <c r="B1880">
        <v>51321001</v>
      </c>
      <c r="C1880">
        <v>21</v>
      </c>
      <c r="D1880">
        <v>380200</v>
      </c>
      <c r="E1880">
        <v>215907</v>
      </c>
      <c r="F1880" t="s">
        <v>115</v>
      </c>
      <c r="G1880" t="s">
        <v>71</v>
      </c>
      <c r="H1880">
        <v>12798</v>
      </c>
      <c r="I1880">
        <v>12798</v>
      </c>
      <c r="J1880">
        <v>0</v>
      </c>
      <c r="K1880">
        <v>0</v>
      </c>
      <c r="L1880">
        <v>0</v>
      </c>
    </row>
    <row r="1881" spans="1:12" x14ac:dyDescent="0.25">
      <c r="A1881" t="str">
        <f t="shared" si="29"/>
        <v>3802002159072026M10</v>
      </c>
      <c r="B1881">
        <v>51321001</v>
      </c>
      <c r="C1881">
        <v>21</v>
      </c>
      <c r="D1881">
        <v>380200</v>
      </c>
      <c r="E1881">
        <v>215907</v>
      </c>
      <c r="F1881" t="s">
        <v>115</v>
      </c>
      <c r="G1881" t="s">
        <v>72</v>
      </c>
      <c r="H1881">
        <v>31230</v>
      </c>
      <c r="I1881">
        <v>12798</v>
      </c>
      <c r="J1881">
        <v>18429.12</v>
      </c>
      <c r="K1881">
        <v>0</v>
      </c>
      <c r="L1881">
        <v>2.88</v>
      </c>
    </row>
    <row r="1882" spans="1:12" x14ac:dyDescent="0.25">
      <c r="A1882" t="str">
        <f t="shared" si="29"/>
        <v>3802002159072026M11</v>
      </c>
      <c r="B1882">
        <v>51321001</v>
      </c>
      <c r="C1882">
        <v>21</v>
      </c>
      <c r="D1882">
        <v>380200</v>
      </c>
      <c r="E1882">
        <v>215907</v>
      </c>
      <c r="F1882" t="s">
        <v>115</v>
      </c>
      <c r="G1882" t="s">
        <v>73</v>
      </c>
      <c r="H1882">
        <v>14846</v>
      </c>
      <c r="I1882">
        <v>0</v>
      </c>
      <c r="J1882">
        <v>14845.68</v>
      </c>
      <c r="K1882">
        <v>0</v>
      </c>
      <c r="L1882">
        <v>0.32</v>
      </c>
    </row>
    <row r="1883" spans="1:12" x14ac:dyDescent="0.25">
      <c r="A1883" t="str">
        <f t="shared" si="29"/>
        <v>3802002159072026M12</v>
      </c>
      <c r="B1883">
        <v>51321001</v>
      </c>
      <c r="C1883">
        <v>21</v>
      </c>
      <c r="D1883">
        <v>380200</v>
      </c>
      <c r="E1883">
        <v>215907</v>
      </c>
      <c r="F1883" t="s">
        <v>115</v>
      </c>
      <c r="G1883" t="s">
        <v>74</v>
      </c>
      <c r="H1883">
        <v>29692</v>
      </c>
      <c r="I1883">
        <v>0</v>
      </c>
      <c r="J1883">
        <v>29691.360000000001</v>
      </c>
      <c r="K1883">
        <v>0</v>
      </c>
      <c r="L1883">
        <v>0.64</v>
      </c>
    </row>
    <row r="1884" spans="1:12" x14ac:dyDescent="0.25">
      <c r="A1884" t="str">
        <f t="shared" si="29"/>
        <v>9001102191012026M02</v>
      </c>
      <c r="B1884">
        <v>51321001</v>
      </c>
      <c r="C1884">
        <v>21</v>
      </c>
      <c r="D1884">
        <v>900110</v>
      </c>
      <c r="E1884">
        <v>219101</v>
      </c>
      <c r="F1884" t="s">
        <v>115</v>
      </c>
      <c r="G1884" t="s">
        <v>64</v>
      </c>
      <c r="H1884">
        <v>0</v>
      </c>
      <c r="I1884">
        <v>0</v>
      </c>
      <c r="J1884">
        <v>0</v>
      </c>
      <c r="K1884">
        <v>0</v>
      </c>
      <c r="L1884">
        <v>0</v>
      </c>
    </row>
    <row r="1885" spans="1:12" x14ac:dyDescent="0.25">
      <c r="A1885" t="str">
        <f t="shared" si="29"/>
        <v>9001102191012026M03</v>
      </c>
      <c r="B1885">
        <v>51321001</v>
      </c>
      <c r="C1885">
        <v>21</v>
      </c>
      <c r="D1885">
        <v>900110</v>
      </c>
      <c r="E1885">
        <v>219101</v>
      </c>
      <c r="F1885" t="s">
        <v>115</v>
      </c>
      <c r="G1885" t="s">
        <v>65</v>
      </c>
      <c r="H1885">
        <v>337208.74</v>
      </c>
      <c r="I1885">
        <v>337208.74</v>
      </c>
      <c r="J1885">
        <v>0</v>
      </c>
      <c r="K1885">
        <v>0</v>
      </c>
      <c r="L1885">
        <v>0</v>
      </c>
    </row>
    <row r="1886" spans="1:12" x14ac:dyDescent="0.25">
      <c r="A1886" t="str">
        <f t="shared" si="29"/>
        <v>9001102191012026M04</v>
      </c>
      <c r="B1886">
        <v>51321001</v>
      </c>
      <c r="C1886">
        <v>21</v>
      </c>
      <c r="D1886">
        <v>900110</v>
      </c>
      <c r="E1886">
        <v>219101</v>
      </c>
      <c r="F1886" t="s">
        <v>115</v>
      </c>
      <c r="G1886" t="s">
        <v>66</v>
      </c>
      <c r="H1886">
        <v>168604.37</v>
      </c>
      <c r="I1886">
        <v>168604.37</v>
      </c>
      <c r="J1886">
        <v>0</v>
      </c>
      <c r="K1886">
        <v>0</v>
      </c>
      <c r="L1886">
        <v>0</v>
      </c>
    </row>
    <row r="1887" spans="1:12" x14ac:dyDescent="0.25">
      <c r="A1887" t="str">
        <f t="shared" si="29"/>
        <v>9001102191012026M05</v>
      </c>
      <c r="B1887">
        <v>51321001</v>
      </c>
      <c r="C1887">
        <v>21</v>
      </c>
      <c r="D1887">
        <v>900110</v>
      </c>
      <c r="E1887">
        <v>219101</v>
      </c>
      <c r="F1887" t="s">
        <v>115</v>
      </c>
      <c r="G1887" t="s">
        <v>67</v>
      </c>
      <c r="H1887">
        <v>168604.37</v>
      </c>
      <c r="I1887">
        <v>168604.37</v>
      </c>
      <c r="J1887">
        <v>0</v>
      </c>
      <c r="K1887">
        <v>0</v>
      </c>
      <c r="L1887">
        <v>0</v>
      </c>
    </row>
    <row r="1888" spans="1:12" x14ac:dyDescent="0.25">
      <c r="A1888" t="str">
        <f t="shared" si="29"/>
        <v>9001102191012026M06</v>
      </c>
      <c r="B1888">
        <v>51321001</v>
      </c>
      <c r="C1888">
        <v>21</v>
      </c>
      <c r="D1888">
        <v>900110</v>
      </c>
      <c r="E1888">
        <v>219101</v>
      </c>
      <c r="F1888" t="s">
        <v>115</v>
      </c>
      <c r="G1888" t="s">
        <v>68</v>
      </c>
      <c r="H1888">
        <v>168604.37</v>
      </c>
      <c r="I1888">
        <v>168604.37</v>
      </c>
      <c r="J1888">
        <v>0</v>
      </c>
      <c r="K1888">
        <v>0</v>
      </c>
      <c r="L1888">
        <v>0</v>
      </c>
    </row>
    <row r="1889" spans="1:12" x14ac:dyDescent="0.25">
      <c r="A1889" t="str">
        <f t="shared" si="29"/>
        <v>9001102191012026M07</v>
      </c>
      <c r="B1889">
        <v>51321001</v>
      </c>
      <c r="C1889">
        <v>21</v>
      </c>
      <c r="D1889">
        <v>900110</v>
      </c>
      <c r="E1889">
        <v>219101</v>
      </c>
      <c r="F1889" t="s">
        <v>115</v>
      </c>
      <c r="G1889" t="s">
        <v>69</v>
      </c>
      <c r="H1889">
        <v>168604.37</v>
      </c>
      <c r="I1889">
        <v>168604.37</v>
      </c>
      <c r="J1889">
        <v>0</v>
      </c>
      <c r="K1889">
        <v>0</v>
      </c>
      <c r="L1889">
        <v>0</v>
      </c>
    </row>
    <row r="1890" spans="1:12" x14ac:dyDescent="0.25">
      <c r="A1890" t="str">
        <f t="shared" si="29"/>
        <v>9001102191012026M08</v>
      </c>
      <c r="B1890">
        <v>51321001</v>
      </c>
      <c r="C1890">
        <v>21</v>
      </c>
      <c r="D1890">
        <v>900110</v>
      </c>
      <c r="E1890">
        <v>219101</v>
      </c>
      <c r="F1890" t="s">
        <v>115</v>
      </c>
      <c r="G1890" t="s">
        <v>70</v>
      </c>
      <c r="H1890">
        <v>168604.37</v>
      </c>
      <c r="I1890">
        <v>168604.37</v>
      </c>
      <c r="J1890">
        <v>0</v>
      </c>
      <c r="K1890">
        <v>0</v>
      </c>
      <c r="L1890">
        <v>0</v>
      </c>
    </row>
    <row r="1891" spans="1:12" x14ac:dyDescent="0.25">
      <c r="A1891" t="str">
        <f t="shared" si="29"/>
        <v>9001102191012026M09</v>
      </c>
      <c r="B1891">
        <v>51321001</v>
      </c>
      <c r="C1891">
        <v>21</v>
      </c>
      <c r="D1891">
        <v>900110</v>
      </c>
      <c r="E1891">
        <v>219101</v>
      </c>
      <c r="F1891" t="s">
        <v>115</v>
      </c>
      <c r="G1891" t="s">
        <v>71</v>
      </c>
      <c r="H1891">
        <v>168604.37</v>
      </c>
      <c r="I1891">
        <v>168604.37</v>
      </c>
      <c r="J1891">
        <v>0</v>
      </c>
      <c r="K1891">
        <v>0</v>
      </c>
      <c r="L1891">
        <v>0</v>
      </c>
    </row>
    <row r="1892" spans="1:12" x14ac:dyDescent="0.25">
      <c r="A1892" t="str">
        <f t="shared" si="29"/>
        <v>9001102191012026M10</v>
      </c>
      <c r="B1892">
        <v>51321001</v>
      </c>
      <c r="C1892">
        <v>21</v>
      </c>
      <c r="D1892">
        <v>900110</v>
      </c>
      <c r="E1892">
        <v>219101</v>
      </c>
      <c r="F1892" t="s">
        <v>115</v>
      </c>
      <c r="G1892" t="s">
        <v>72</v>
      </c>
      <c r="H1892">
        <v>168610.04</v>
      </c>
      <c r="I1892">
        <v>168604.37</v>
      </c>
      <c r="J1892">
        <v>5.67</v>
      </c>
      <c r="K1892">
        <v>0</v>
      </c>
      <c r="L1892">
        <v>0</v>
      </c>
    </row>
    <row r="1893" spans="1:12" x14ac:dyDescent="0.25">
      <c r="A1893" t="str">
        <f t="shared" si="29"/>
        <v>9001102191012026M11</v>
      </c>
      <c r="B1893">
        <v>51321001</v>
      </c>
      <c r="C1893">
        <v>21</v>
      </c>
      <c r="D1893">
        <v>900110</v>
      </c>
      <c r="E1893">
        <v>219101</v>
      </c>
      <c r="F1893" t="s">
        <v>115</v>
      </c>
      <c r="G1893" t="s">
        <v>73</v>
      </c>
      <c r="H1893">
        <v>168605</v>
      </c>
      <c r="I1893">
        <v>0</v>
      </c>
      <c r="J1893">
        <v>168605</v>
      </c>
      <c r="K1893">
        <v>0</v>
      </c>
      <c r="L1893">
        <v>0</v>
      </c>
    </row>
    <row r="1894" spans="1:12" x14ac:dyDescent="0.25">
      <c r="A1894" t="str">
        <f t="shared" si="29"/>
        <v>9001102191012026M12</v>
      </c>
      <c r="B1894">
        <v>51321001</v>
      </c>
      <c r="C1894">
        <v>21</v>
      </c>
      <c r="D1894">
        <v>900110</v>
      </c>
      <c r="E1894">
        <v>219101</v>
      </c>
      <c r="F1894" t="s">
        <v>115</v>
      </c>
      <c r="G1894" t="s">
        <v>74</v>
      </c>
      <c r="H1894">
        <v>337209.97</v>
      </c>
      <c r="I1894">
        <v>0</v>
      </c>
      <c r="J1894">
        <v>337203.49</v>
      </c>
      <c r="K1894">
        <v>0</v>
      </c>
      <c r="L1894">
        <v>6.48</v>
      </c>
    </row>
    <row r="1895" spans="1:12" x14ac:dyDescent="0.25">
      <c r="A1895" t="str">
        <f t="shared" si="29"/>
        <v>9001102191032026M02</v>
      </c>
      <c r="B1895">
        <v>51321001</v>
      </c>
      <c r="C1895">
        <v>21</v>
      </c>
      <c r="D1895">
        <v>900110</v>
      </c>
      <c r="E1895">
        <v>219103</v>
      </c>
      <c r="F1895" t="s">
        <v>115</v>
      </c>
      <c r="G1895" t="s">
        <v>64</v>
      </c>
      <c r="H1895">
        <v>0</v>
      </c>
      <c r="I1895">
        <v>0</v>
      </c>
      <c r="J1895">
        <v>0</v>
      </c>
      <c r="K1895">
        <v>0</v>
      </c>
      <c r="L1895">
        <v>0</v>
      </c>
    </row>
    <row r="1896" spans="1:12" x14ac:dyDescent="0.25">
      <c r="A1896" t="str">
        <f t="shared" si="29"/>
        <v>9001102191032026M03</v>
      </c>
      <c r="B1896">
        <v>51321001</v>
      </c>
      <c r="C1896">
        <v>21</v>
      </c>
      <c r="D1896">
        <v>900110</v>
      </c>
      <c r="E1896">
        <v>219103</v>
      </c>
      <c r="F1896" t="s">
        <v>115</v>
      </c>
      <c r="G1896" t="s">
        <v>65</v>
      </c>
      <c r="H1896">
        <v>46000.78</v>
      </c>
      <c r="I1896">
        <v>46000.78</v>
      </c>
      <c r="J1896">
        <v>0</v>
      </c>
      <c r="K1896">
        <v>0</v>
      </c>
      <c r="L1896">
        <v>0</v>
      </c>
    </row>
    <row r="1897" spans="1:12" x14ac:dyDescent="0.25">
      <c r="A1897" t="str">
        <f t="shared" si="29"/>
        <v>9001102191032026M04</v>
      </c>
      <c r="B1897">
        <v>51321001</v>
      </c>
      <c r="C1897">
        <v>21</v>
      </c>
      <c r="D1897">
        <v>900110</v>
      </c>
      <c r="E1897">
        <v>219103</v>
      </c>
      <c r="F1897" t="s">
        <v>115</v>
      </c>
      <c r="G1897" t="s">
        <v>66</v>
      </c>
      <c r="H1897">
        <v>23000.39</v>
      </c>
      <c r="I1897">
        <v>23000.39</v>
      </c>
      <c r="J1897">
        <v>0</v>
      </c>
      <c r="K1897">
        <v>0</v>
      </c>
      <c r="L1897">
        <v>0</v>
      </c>
    </row>
    <row r="1898" spans="1:12" x14ac:dyDescent="0.25">
      <c r="A1898" t="str">
        <f t="shared" si="29"/>
        <v>9001102191032026M05</v>
      </c>
      <c r="B1898">
        <v>51321001</v>
      </c>
      <c r="C1898">
        <v>21</v>
      </c>
      <c r="D1898">
        <v>900110</v>
      </c>
      <c r="E1898">
        <v>219103</v>
      </c>
      <c r="F1898" t="s">
        <v>115</v>
      </c>
      <c r="G1898" t="s">
        <v>67</v>
      </c>
      <c r="H1898">
        <v>23000.39</v>
      </c>
      <c r="I1898">
        <v>23000.39</v>
      </c>
      <c r="J1898">
        <v>0</v>
      </c>
      <c r="K1898">
        <v>0</v>
      </c>
      <c r="L1898">
        <v>0</v>
      </c>
    </row>
    <row r="1899" spans="1:12" x14ac:dyDescent="0.25">
      <c r="A1899" t="str">
        <f t="shared" si="29"/>
        <v>9001102191032026M06</v>
      </c>
      <c r="B1899">
        <v>51321001</v>
      </c>
      <c r="C1899">
        <v>21</v>
      </c>
      <c r="D1899">
        <v>900110</v>
      </c>
      <c r="E1899">
        <v>219103</v>
      </c>
      <c r="F1899" t="s">
        <v>115</v>
      </c>
      <c r="G1899" t="s">
        <v>68</v>
      </c>
      <c r="H1899">
        <v>23000.39</v>
      </c>
      <c r="I1899">
        <v>23000.39</v>
      </c>
      <c r="J1899">
        <v>0</v>
      </c>
      <c r="K1899">
        <v>0</v>
      </c>
      <c r="L1899">
        <v>0</v>
      </c>
    </row>
    <row r="1900" spans="1:12" x14ac:dyDescent="0.25">
      <c r="A1900" t="str">
        <f t="shared" si="29"/>
        <v>9001102191032026M07</v>
      </c>
      <c r="B1900">
        <v>51321001</v>
      </c>
      <c r="C1900">
        <v>21</v>
      </c>
      <c r="D1900">
        <v>900110</v>
      </c>
      <c r="E1900">
        <v>219103</v>
      </c>
      <c r="F1900" t="s">
        <v>115</v>
      </c>
      <c r="G1900" t="s">
        <v>69</v>
      </c>
      <c r="H1900">
        <v>23000.39</v>
      </c>
      <c r="I1900">
        <v>23000.39</v>
      </c>
      <c r="J1900">
        <v>0</v>
      </c>
      <c r="K1900">
        <v>0</v>
      </c>
      <c r="L1900">
        <v>0</v>
      </c>
    </row>
    <row r="1901" spans="1:12" x14ac:dyDescent="0.25">
      <c r="A1901" t="str">
        <f t="shared" si="29"/>
        <v>9001102191032026M08</v>
      </c>
      <c r="B1901">
        <v>51321001</v>
      </c>
      <c r="C1901">
        <v>21</v>
      </c>
      <c r="D1901">
        <v>900110</v>
      </c>
      <c r="E1901">
        <v>219103</v>
      </c>
      <c r="F1901" t="s">
        <v>115</v>
      </c>
      <c r="G1901" t="s">
        <v>70</v>
      </c>
      <c r="H1901">
        <v>23000.39</v>
      </c>
      <c r="I1901">
        <v>23000.39</v>
      </c>
      <c r="J1901">
        <v>0</v>
      </c>
      <c r="K1901">
        <v>0</v>
      </c>
      <c r="L1901">
        <v>0</v>
      </c>
    </row>
    <row r="1902" spans="1:12" x14ac:dyDescent="0.25">
      <c r="A1902" t="str">
        <f t="shared" si="29"/>
        <v>9001102191032026M09</v>
      </c>
      <c r="B1902">
        <v>51321001</v>
      </c>
      <c r="C1902">
        <v>21</v>
      </c>
      <c r="D1902">
        <v>900110</v>
      </c>
      <c r="E1902">
        <v>219103</v>
      </c>
      <c r="F1902" t="s">
        <v>115</v>
      </c>
      <c r="G1902" t="s">
        <v>71</v>
      </c>
      <c r="H1902">
        <v>23000.39</v>
      </c>
      <c r="I1902">
        <v>23000.39</v>
      </c>
      <c r="J1902">
        <v>0</v>
      </c>
      <c r="K1902">
        <v>0</v>
      </c>
      <c r="L1902">
        <v>0</v>
      </c>
    </row>
    <row r="1903" spans="1:12" x14ac:dyDescent="0.25">
      <c r="A1903" t="str">
        <f t="shared" si="29"/>
        <v>9001102191032026M10</v>
      </c>
      <c r="B1903">
        <v>51321001</v>
      </c>
      <c r="C1903">
        <v>21</v>
      </c>
      <c r="D1903">
        <v>900110</v>
      </c>
      <c r="E1903">
        <v>219103</v>
      </c>
      <c r="F1903" t="s">
        <v>115</v>
      </c>
      <c r="G1903" t="s">
        <v>72</v>
      </c>
      <c r="H1903">
        <v>23005.88</v>
      </c>
      <c r="I1903">
        <v>23000.39</v>
      </c>
      <c r="J1903">
        <v>3.69</v>
      </c>
      <c r="K1903">
        <v>0</v>
      </c>
      <c r="L1903">
        <v>1.8</v>
      </c>
    </row>
    <row r="1904" spans="1:12" x14ac:dyDescent="0.25">
      <c r="A1904" t="str">
        <f t="shared" si="29"/>
        <v>9001102191032026M11</v>
      </c>
      <c r="B1904">
        <v>51321001</v>
      </c>
      <c r="C1904">
        <v>21</v>
      </c>
      <c r="D1904">
        <v>900110</v>
      </c>
      <c r="E1904">
        <v>219103</v>
      </c>
      <c r="F1904" t="s">
        <v>115</v>
      </c>
      <c r="G1904" t="s">
        <v>73</v>
      </c>
      <c r="H1904">
        <v>23001</v>
      </c>
      <c r="I1904">
        <v>0</v>
      </c>
      <c r="J1904">
        <v>23000.799999999999</v>
      </c>
      <c r="K1904">
        <v>0</v>
      </c>
      <c r="L1904">
        <v>0.2</v>
      </c>
    </row>
    <row r="1905" spans="1:12" x14ac:dyDescent="0.25">
      <c r="A1905" t="str">
        <f t="shared" si="29"/>
        <v>9001102191032026M12</v>
      </c>
      <c r="B1905">
        <v>51321001</v>
      </c>
      <c r="C1905">
        <v>21</v>
      </c>
      <c r="D1905">
        <v>900110</v>
      </c>
      <c r="E1905">
        <v>219103</v>
      </c>
      <c r="F1905" t="s">
        <v>115</v>
      </c>
      <c r="G1905" t="s">
        <v>74</v>
      </c>
      <c r="H1905">
        <v>45997.8</v>
      </c>
      <c r="I1905">
        <v>0</v>
      </c>
      <c r="J1905">
        <v>45996.6</v>
      </c>
      <c r="K1905">
        <v>0</v>
      </c>
      <c r="L1905">
        <v>1.2</v>
      </c>
    </row>
    <row r="1906" spans="1:12" x14ac:dyDescent="0.25">
      <c r="A1906" t="str">
        <f t="shared" si="29"/>
        <v>731102293012026M02</v>
      </c>
      <c r="B1906">
        <v>51321001</v>
      </c>
      <c r="C1906">
        <v>22</v>
      </c>
      <c r="D1906">
        <v>73110</v>
      </c>
      <c r="E1906">
        <v>229301</v>
      </c>
      <c r="F1906" t="s">
        <v>115</v>
      </c>
      <c r="G1906" t="s">
        <v>64</v>
      </c>
      <c r="H1906">
        <v>0</v>
      </c>
      <c r="I1906">
        <v>0</v>
      </c>
      <c r="J1906">
        <v>0</v>
      </c>
      <c r="K1906">
        <v>0</v>
      </c>
      <c r="L1906">
        <v>0</v>
      </c>
    </row>
    <row r="1907" spans="1:12" x14ac:dyDescent="0.25">
      <c r="A1907" t="str">
        <f t="shared" si="29"/>
        <v>731102293012026M03</v>
      </c>
      <c r="B1907">
        <v>51321001</v>
      </c>
      <c r="C1907">
        <v>22</v>
      </c>
      <c r="D1907">
        <v>73110</v>
      </c>
      <c r="E1907">
        <v>229301</v>
      </c>
      <c r="F1907" t="s">
        <v>115</v>
      </c>
      <c r="G1907" t="s">
        <v>65</v>
      </c>
      <c r="H1907">
        <v>0</v>
      </c>
      <c r="I1907">
        <v>0</v>
      </c>
      <c r="J1907">
        <v>0</v>
      </c>
      <c r="K1907">
        <v>0</v>
      </c>
      <c r="L1907">
        <v>0</v>
      </c>
    </row>
    <row r="1908" spans="1:12" x14ac:dyDescent="0.25">
      <c r="A1908" t="str">
        <f t="shared" si="29"/>
        <v>731102293012026M04</v>
      </c>
      <c r="B1908">
        <v>51321001</v>
      </c>
      <c r="C1908">
        <v>22</v>
      </c>
      <c r="D1908">
        <v>73110</v>
      </c>
      <c r="E1908">
        <v>229301</v>
      </c>
      <c r="F1908" t="s">
        <v>115</v>
      </c>
      <c r="G1908" t="s">
        <v>66</v>
      </c>
      <c r="H1908">
        <v>0</v>
      </c>
      <c r="I1908">
        <v>0</v>
      </c>
      <c r="J1908">
        <v>0</v>
      </c>
      <c r="K1908">
        <v>0</v>
      </c>
      <c r="L1908">
        <v>0</v>
      </c>
    </row>
    <row r="1909" spans="1:12" x14ac:dyDescent="0.25">
      <c r="A1909" t="str">
        <f t="shared" si="29"/>
        <v>731102293012026M05</v>
      </c>
      <c r="B1909">
        <v>51321001</v>
      </c>
      <c r="C1909">
        <v>22</v>
      </c>
      <c r="D1909">
        <v>73110</v>
      </c>
      <c r="E1909">
        <v>229301</v>
      </c>
      <c r="F1909" t="s">
        <v>115</v>
      </c>
      <c r="G1909" t="s">
        <v>67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x14ac:dyDescent="0.25">
      <c r="A1910" t="str">
        <f t="shared" si="29"/>
        <v>731102293012026M06</v>
      </c>
      <c r="B1910">
        <v>51321001</v>
      </c>
      <c r="C1910">
        <v>22</v>
      </c>
      <c r="D1910">
        <v>73110</v>
      </c>
      <c r="E1910">
        <v>229301</v>
      </c>
      <c r="F1910" t="s">
        <v>115</v>
      </c>
      <c r="G1910" t="s">
        <v>68</v>
      </c>
      <c r="H1910">
        <v>90479.88</v>
      </c>
      <c r="I1910">
        <v>90479.88</v>
      </c>
      <c r="J1910">
        <v>0</v>
      </c>
      <c r="K1910">
        <v>0</v>
      </c>
      <c r="L1910">
        <v>0</v>
      </c>
    </row>
    <row r="1911" spans="1:12" x14ac:dyDescent="0.25">
      <c r="A1911" t="str">
        <f t="shared" si="29"/>
        <v>731102293012026M07</v>
      </c>
      <c r="B1911">
        <v>51321001</v>
      </c>
      <c r="C1911">
        <v>22</v>
      </c>
      <c r="D1911">
        <v>73110</v>
      </c>
      <c r="E1911">
        <v>229301</v>
      </c>
      <c r="F1911" t="s">
        <v>115</v>
      </c>
      <c r="G1911" t="s">
        <v>69</v>
      </c>
      <c r="H1911">
        <v>0</v>
      </c>
      <c r="I1911">
        <v>0</v>
      </c>
      <c r="J1911">
        <v>0</v>
      </c>
      <c r="K1911">
        <v>0</v>
      </c>
      <c r="L1911">
        <v>0</v>
      </c>
    </row>
    <row r="1912" spans="1:12" x14ac:dyDescent="0.25">
      <c r="A1912" t="str">
        <f t="shared" si="29"/>
        <v>731102293012026M08</v>
      </c>
      <c r="B1912">
        <v>51321001</v>
      </c>
      <c r="C1912">
        <v>22</v>
      </c>
      <c r="D1912">
        <v>73110</v>
      </c>
      <c r="E1912">
        <v>229301</v>
      </c>
      <c r="F1912" t="s">
        <v>115</v>
      </c>
      <c r="G1912" t="s">
        <v>70</v>
      </c>
      <c r="H1912">
        <v>0</v>
      </c>
      <c r="I1912">
        <v>0</v>
      </c>
      <c r="J1912">
        <v>0</v>
      </c>
      <c r="K1912">
        <v>0</v>
      </c>
      <c r="L1912">
        <v>0</v>
      </c>
    </row>
    <row r="1913" spans="1:12" x14ac:dyDescent="0.25">
      <c r="A1913" t="str">
        <f t="shared" si="29"/>
        <v>731102293012026M09</v>
      </c>
      <c r="B1913">
        <v>51321001</v>
      </c>
      <c r="C1913">
        <v>22</v>
      </c>
      <c r="D1913">
        <v>73110</v>
      </c>
      <c r="E1913">
        <v>229301</v>
      </c>
      <c r="F1913" t="s">
        <v>115</v>
      </c>
      <c r="G1913" t="s">
        <v>71</v>
      </c>
      <c r="H1913">
        <v>0</v>
      </c>
      <c r="I1913">
        <v>0</v>
      </c>
      <c r="J1913">
        <v>0</v>
      </c>
      <c r="K1913">
        <v>0</v>
      </c>
      <c r="L1913">
        <v>0</v>
      </c>
    </row>
    <row r="1914" spans="1:12" x14ac:dyDescent="0.25">
      <c r="A1914" t="str">
        <f t="shared" si="29"/>
        <v>731102293012026M10</v>
      </c>
      <c r="B1914">
        <v>51321001</v>
      </c>
      <c r="C1914">
        <v>22</v>
      </c>
      <c r="D1914">
        <v>73110</v>
      </c>
      <c r="E1914">
        <v>229301</v>
      </c>
      <c r="F1914" t="s">
        <v>115</v>
      </c>
      <c r="G1914" t="s">
        <v>72</v>
      </c>
      <c r="H1914">
        <v>0.12</v>
      </c>
      <c r="I1914">
        <v>0</v>
      </c>
      <c r="J1914">
        <v>0.12</v>
      </c>
      <c r="K1914">
        <v>0</v>
      </c>
      <c r="L1914">
        <v>0</v>
      </c>
    </row>
    <row r="1915" spans="1:12" x14ac:dyDescent="0.25">
      <c r="A1915" t="str">
        <f t="shared" si="29"/>
        <v>731102293012026M11</v>
      </c>
      <c r="B1915">
        <v>51321001</v>
      </c>
      <c r="C1915">
        <v>22</v>
      </c>
      <c r="D1915">
        <v>73110</v>
      </c>
      <c r="E1915">
        <v>229301</v>
      </c>
      <c r="F1915" t="s">
        <v>115</v>
      </c>
      <c r="G1915" t="s">
        <v>73</v>
      </c>
      <c r="H1915">
        <v>0</v>
      </c>
      <c r="I1915">
        <v>0</v>
      </c>
      <c r="J1915">
        <v>0</v>
      </c>
      <c r="K1915">
        <v>0</v>
      </c>
      <c r="L1915">
        <v>0</v>
      </c>
    </row>
    <row r="1916" spans="1:12" x14ac:dyDescent="0.25">
      <c r="A1916" t="str">
        <f t="shared" si="29"/>
        <v>731102293012026M12</v>
      </c>
      <c r="B1916">
        <v>51321001</v>
      </c>
      <c r="C1916">
        <v>22</v>
      </c>
      <c r="D1916">
        <v>73110</v>
      </c>
      <c r="E1916">
        <v>229301</v>
      </c>
      <c r="F1916" t="s">
        <v>115</v>
      </c>
      <c r="G1916" t="s">
        <v>74</v>
      </c>
      <c r="H1916">
        <v>0</v>
      </c>
      <c r="I1916">
        <v>0</v>
      </c>
      <c r="J1916">
        <v>0</v>
      </c>
      <c r="K1916">
        <v>0</v>
      </c>
      <c r="L1916">
        <v>0</v>
      </c>
    </row>
    <row r="1917" spans="1:12" x14ac:dyDescent="0.25">
      <c r="A1917" t="str">
        <f t="shared" si="29"/>
        <v>1401002290012026M02</v>
      </c>
      <c r="B1917">
        <v>51321001</v>
      </c>
      <c r="C1917">
        <v>22</v>
      </c>
      <c r="D1917">
        <v>140100</v>
      </c>
      <c r="E1917">
        <v>229001</v>
      </c>
      <c r="F1917" t="s">
        <v>115</v>
      </c>
      <c r="G1917" t="s">
        <v>64</v>
      </c>
      <c r="H1917">
        <v>0</v>
      </c>
      <c r="I1917">
        <v>0</v>
      </c>
      <c r="J1917">
        <v>0</v>
      </c>
      <c r="K1917">
        <v>0</v>
      </c>
      <c r="L1917">
        <v>0</v>
      </c>
    </row>
    <row r="1918" spans="1:12" x14ac:dyDescent="0.25">
      <c r="A1918" t="str">
        <f t="shared" si="29"/>
        <v>1401002290012026M03</v>
      </c>
      <c r="B1918">
        <v>51321001</v>
      </c>
      <c r="C1918">
        <v>22</v>
      </c>
      <c r="D1918">
        <v>140100</v>
      </c>
      <c r="E1918">
        <v>229001</v>
      </c>
      <c r="F1918" t="s">
        <v>115</v>
      </c>
      <c r="G1918" t="s">
        <v>65</v>
      </c>
      <c r="H1918">
        <v>99101.92</v>
      </c>
      <c r="I1918">
        <v>99101.92</v>
      </c>
      <c r="J1918">
        <v>0</v>
      </c>
      <c r="K1918">
        <v>0</v>
      </c>
      <c r="L1918">
        <v>0</v>
      </c>
    </row>
    <row r="1919" spans="1:12" x14ac:dyDescent="0.25">
      <c r="A1919" t="str">
        <f t="shared" si="29"/>
        <v>1401002290012026M04</v>
      </c>
      <c r="B1919">
        <v>51321001</v>
      </c>
      <c r="C1919">
        <v>22</v>
      </c>
      <c r="D1919">
        <v>140100</v>
      </c>
      <c r="E1919">
        <v>229001</v>
      </c>
      <c r="F1919" t="s">
        <v>115</v>
      </c>
      <c r="G1919" t="s">
        <v>66</v>
      </c>
      <c r="H1919">
        <v>49550.96</v>
      </c>
      <c r="I1919">
        <v>49550.96</v>
      </c>
      <c r="J1919">
        <v>0</v>
      </c>
      <c r="K1919">
        <v>0</v>
      </c>
      <c r="L1919">
        <v>0</v>
      </c>
    </row>
    <row r="1920" spans="1:12" x14ac:dyDescent="0.25">
      <c r="A1920" t="str">
        <f t="shared" si="29"/>
        <v>1401002290012026M05</v>
      </c>
      <c r="B1920">
        <v>51321001</v>
      </c>
      <c r="C1920">
        <v>22</v>
      </c>
      <c r="D1920">
        <v>140100</v>
      </c>
      <c r="E1920">
        <v>229001</v>
      </c>
      <c r="F1920" t="s">
        <v>115</v>
      </c>
      <c r="G1920" t="s">
        <v>67</v>
      </c>
      <c r="H1920">
        <v>49550.96</v>
      </c>
      <c r="I1920">
        <v>49550.96</v>
      </c>
      <c r="J1920">
        <v>0</v>
      </c>
      <c r="K1920">
        <v>0</v>
      </c>
      <c r="L1920">
        <v>0</v>
      </c>
    </row>
    <row r="1921" spans="1:12" x14ac:dyDescent="0.25">
      <c r="A1921" t="str">
        <f t="shared" si="29"/>
        <v>1401002290012026M06</v>
      </c>
      <c r="B1921">
        <v>51321001</v>
      </c>
      <c r="C1921">
        <v>22</v>
      </c>
      <c r="D1921">
        <v>140100</v>
      </c>
      <c r="E1921">
        <v>229001</v>
      </c>
      <c r="F1921" t="s">
        <v>115</v>
      </c>
      <c r="G1921" t="s">
        <v>68</v>
      </c>
      <c r="H1921">
        <v>49550.96</v>
      </c>
      <c r="I1921">
        <v>49550.96</v>
      </c>
      <c r="J1921">
        <v>0</v>
      </c>
      <c r="K1921">
        <v>0</v>
      </c>
      <c r="L1921">
        <v>0</v>
      </c>
    </row>
    <row r="1922" spans="1:12" x14ac:dyDescent="0.25">
      <c r="A1922" t="str">
        <f t="shared" si="29"/>
        <v>1401002290012026M07</v>
      </c>
      <c r="B1922">
        <v>51321001</v>
      </c>
      <c r="C1922">
        <v>22</v>
      </c>
      <c r="D1922">
        <v>140100</v>
      </c>
      <c r="E1922">
        <v>229001</v>
      </c>
      <c r="F1922" t="s">
        <v>115</v>
      </c>
      <c r="G1922" t="s">
        <v>69</v>
      </c>
      <c r="H1922">
        <v>49550.96</v>
      </c>
      <c r="I1922">
        <v>49550.96</v>
      </c>
      <c r="J1922">
        <v>0</v>
      </c>
      <c r="K1922">
        <v>0</v>
      </c>
      <c r="L1922">
        <v>0</v>
      </c>
    </row>
    <row r="1923" spans="1:12" x14ac:dyDescent="0.25">
      <c r="A1923" t="str">
        <f t="shared" si="29"/>
        <v>1401002290012026M08</v>
      </c>
      <c r="B1923">
        <v>51321001</v>
      </c>
      <c r="C1923">
        <v>22</v>
      </c>
      <c r="D1923">
        <v>140100</v>
      </c>
      <c r="E1923">
        <v>229001</v>
      </c>
      <c r="F1923" t="s">
        <v>115</v>
      </c>
      <c r="G1923" t="s">
        <v>70</v>
      </c>
      <c r="H1923">
        <v>49545.16</v>
      </c>
      <c r="I1923">
        <v>49545.16</v>
      </c>
      <c r="J1923">
        <v>0</v>
      </c>
      <c r="K1923">
        <v>0</v>
      </c>
      <c r="L1923">
        <v>0</v>
      </c>
    </row>
    <row r="1924" spans="1:12" x14ac:dyDescent="0.25">
      <c r="A1924" t="str">
        <f t="shared" si="29"/>
        <v>1401002290012026M09</v>
      </c>
      <c r="B1924">
        <v>51321001</v>
      </c>
      <c r="C1924">
        <v>22</v>
      </c>
      <c r="D1924">
        <v>140100</v>
      </c>
      <c r="E1924">
        <v>229001</v>
      </c>
      <c r="F1924" t="s">
        <v>115</v>
      </c>
      <c r="G1924" t="s">
        <v>71</v>
      </c>
      <c r="H1924">
        <v>49550.96</v>
      </c>
      <c r="I1924">
        <v>49550.96</v>
      </c>
      <c r="J1924">
        <v>0</v>
      </c>
      <c r="K1924">
        <v>0</v>
      </c>
      <c r="L1924">
        <v>0</v>
      </c>
    </row>
    <row r="1925" spans="1:12" x14ac:dyDescent="0.25">
      <c r="A1925" t="str">
        <f t="shared" si="29"/>
        <v>1401002290012026M10</v>
      </c>
      <c r="B1925">
        <v>51321001</v>
      </c>
      <c r="C1925">
        <v>22</v>
      </c>
      <c r="D1925">
        <v>140100</v>
      </c>
      <c r="E1925">
        <v>229001</v>
      </c>
      <c r="F1925" t="s">
        <v>115</v>
      </c>
      <c r="G1925" t="s">
        <v>72</v>
      </c>
      <c r="H1925">
        <v>49575.12</v>
      </c>
      <c r="I1925">
        <v>49550.96</v>
      </c>
      <c r="J1925">
        <v>15.16</v>
      </c>
      <c r="K1925">
        <v>0</v>
      </c>
      <c r="L1925">
        <v>9</v>
      </c>
    </row>
    <row r="1926" spans="1:12" x14ac:dyDescent="0.25">
      <c r="A1926" t="str">
        <f t="shared" si="29"/>
        <v>1401002290012026M11</v>
      </c>
      <c r="B1926">
        <v>51321001</v>
      </c>
      <c r="C1926">
        <v>22</v>
      </c>
      <c r="D1926">
        <v>140100</v>
      </c>
      <c r="E1926">
        <v>229001</v>
      </c>
      <c r="F1926" t="s">
        <v>115</v>
      </c>
      <c r="G1926" t="s">
        <v>73</v>
      </c>
      <c r="H1926">
        <v>49553</v>
      </c>
      <c r="I1926">
        <v>0</v>
      </c>
      <c r="J1926">
        <v>49552</v>
      </c>
      <c r="K1926">
        <v>0</v>
      </c>
      <c r="L1926">
        <v>1</v>
      </c>
    </row>
    <row r="1927" spans="1:12" x14ac:dyDescent="0.25">
      <c r="A1927" t="str">
        <f t="shared" si="29"/>
        <v>1401002290012026M12</v>
      </c>
      <c r="B1927">
        <v>51321001</v>
      </c>
      <c r="C1927">
        <v>22</v>
      </c>
      <c r="D1927">
        <v>140100</v>
      </c>
      <c r="E1927">
        <v>229001</v>
      </c>
      <c r="F1927" t="s">
        <v>115</v>
      </c>
      <c r="G1927" t="s">
        <v>74</v>
      </c>
      <c r="H1927">
        <v>99106</v>
      </c>
      <c r="I1927">
        <v>0</v>
      </c>
      <c r="J1927">
        <v>99106</v>
      </c>
      <c r="K1927">
        <v>0</v>
      </c>
      <c r="L1927">
        <v>0</v>
      </c>
    </row>
    <row r="1928" spans="1:12" x14ac:dyDescent="0.25">
      <c r="A1928" t="str">
        <f t="shared" si="29"/>
        <v>2002002224032026M02</v>
      </c>
      <c r="B1928">
        <v>51321001</v>
      </c>
      <c r="C1928">
        <v>22</v>
      </c>
      <c r="D1928">
        <v>200200</v>
      </c>
      <c r="E1928">
        <v>222403</v>
      </c>
      <c r="F1928" t="s">
        <v>115</v>
      </c>
      <c r="G1928" t="s">
        <v>64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5">
      <c r="A1929" t="str">
        <f t="shared" si="29"/>
        <v>2002002224032026M03</v>
      </c>
      <c r="B1929">
        <v>51321001</v>
      </c>
      <c r="C1929">
        <v>22</v>
      </c>
      <c r="D1929">
        <v>200200</v>
      </c>
      <c r="E1929">
        <v>222403</v>
      </c>
      <c r="F1929" t="s">
        <v>115</v>
      </c>
      <c r="G1929" t="s">
        <v>65</v>
      </c>
      <c r="H1929">
        <v>173993.88</v>
      </c>
      <c r="I1929">
        <v>173993.88</v>
      </c>
      <c r="J1929">
        <v>0</v>
      </c>
      <c r="K1929">
        <v>0</v>
      </c>
      <c r="L1929">
        <v>0</v>
      </c>
    </row>
    <row r="1930" spans="1:12" x14ac:dyDescent="0.25">
      <c r="A1930" t="str">
        <f t="shared" si="29"/>
        <v>2002002224032026M04</v>
      </c>
      <c r="B1930">
        <v>51321001</v>
      </c>
      <c r="C1930">
        <v>22</v>
      </c>
      <c r="D1930">
        <v>200200</v>
      </c>
      <c r="E1930">
        <v>222403</v>
      </c>
      <c r="F1930" t="s">
        <v>115</v>
      </c>
      <c r="G1930" t="s">
        <v>66</v>
      </c>
      <c r="H1930">
        <v>86996.94</v>
      </c>
      <c r="I1930">
        <v>86996.94</v>
      </c>
      <c r="J1930">
        <v>0</v>
      </c>
      <c r="K1930">
        <v>0</v>
      </c>
      <c r="L1930">
        <v>0</v>
      </c>
    </row>
    <row r="1931" spans="1:12" x14ac:dyDescent="0.25">
      <c r="A1931" t="str">
        <f t="shared" ref="A1931:A1994" si="30">D1931&amp;E1931&amp;G1931</f>
        <v>2002002224032026M05</v>
      </c>
      <c r="B1931">
        <v>51321001</v>
      </c>
      <c r="C1931">
        <v>22</v>
      </c>
      <c r="D1931">
        <v>200200</v>
      </c>
      <c r="E1931">
        <v>222403</v>
      </c>
      <c r="F1931" t="s">
        <v>115</v>
      </c>
      <c r="G1931" t="s">
        <v>67</v>
      </c>
      <c r="H1931">
        <v>86996.94</v>
      </c>
      <c r="I1931">
        <v>86996.94</v>
      </c>
      <c r="J1931">
        <v>0</v>
      </c>
      <c r="K1931">
        <v>0</v>
      </c>
      <c r="L1931">
        <v>0</v>
      </c>
    </row>
    <row r="1932" spans="1:12" x14ac:dyDescent="0.25">
      <c r="A1932" t="str">
        <f t="shared" si="30"/>
        <v>2002002224032026M06</v>
      </c>
      <c r="B1932">
        <v>51321001</v>
      </c>
      <c r="C1932">
        <v>22</v>
      </c>
      <c r="D1932">
        <v>200200</v>
      </c>
      <c r="E1932">
        <v>222403</v>
      </c>
      <c r="F1932" t="s">
        <v>115</v>
      </c>
      <c r="G1932" t="s">
        <v>68</v>
      </c>
      <c r="H1932">
        <v>86996.94</v>
      </c>
      <c r="I1932">
        <v>86996.94</v>
      </c>
      <c r="J1932">
        <v>0</v>
      </c>
      <c r="K1932">
        <v>0</v>
      </c>
      <c r="L1932">
        <v>0</v>
      </c>
    </row>
    <row r="1933" spans="1:12" x14ac:dyDescent="0.25">
      <c r="A1933" t="str">
        <f t="shared" si="30"/>
        <v>2002002224032026M07</v>
      </c>
      <c r="B1933">
        <v>51321001</v>
      </c>
      <c r="C1933">
        <v>22</v>
      </c>
      <c r="D1933">
        <v>200200</v>
      </c>
      <c r="E1933">
        <v>222403</v>
      </c>
      <c r="F1933" t="s">
        <v>115</v>
      </c>
      <c r="G1933" t="s">
        <v>69</v>
      </c>
      <c r="H1933">
        <v>86996.94</v>
      </c>
      <c r="I1933">
        <v>86996.94</v>
      </c>
      <c r="J1933">
        <v>0</v>
      </c>
      <c r="K1933">
        <v>0</v>
      </c>
      <c r="L1933">
        <v>0</v>
      </c>
    </row>
    <row r="1934" spans="1:12" x14ac:dyDescent="0.25">
      <c r="A1934" t="str">
        <f t="shared" si="30"/>
        <v>2002002224032026M08</v>
      </c>
      <c r="B1934">
        <v>51321001</v>
      </c>
      <c r="C1934">
        <v>22</v>
      </c>
      <c r="D1934">
        <v>200200</v>
      </c>
      <c r="E1934">
        <v>222403</v>
      </c>
      <c r="F1934" t="s">
        <v>115</v>
      </c>
      <c r="G1934" t="s">
        <v>70</v>
      </c>
      <c r="H1934">
        <v>86996.94</v>
      </c>
      <c r="I1934">
        <v>86996.94</v>
      </c>
      <c r="J1934">
        <v>0</v>
      </c>
      <c r="K1934">
        <v>0</v>
      </c>
      <c r="L1934">
        <v>0</v>
      </c>
    </row>
    <row r="1935" spans="1:12" x14ac:dyDescent="0.25">
      <c r="A1935" t="str">
        <f t="shared" si="30"/>
        <v>2002002224032026M09</v>
      </c>
      <c r="B1935">
        <v>51321001</v>
      </c>
      <c r="C1935">
        <v>22</v>
      </c>
      <c r="D1935">
        <v>200200</v>
      </c>
      <c r="E1935">
        <v>222403</v>
      </c>
      <c r="F1935" t="s">
        <v>115</v>
      </c>
      <c r="G1935" t="s">
        <v>71</v>
      </c>
      <c r="H1935">
        <v>86996.94</v>
      </c>
      <c r="I1935">
        <v>86996.94</v>
      </c>
      <c r="J1935">
        <v>0</v>
      </c>
      <c r="K1935">
        <v>0</v>
      </c>
      <c r="L1935">
        <v>0</v>
      </c>
    </row>
    <row r="1936" spans="1:12" x14ac:dyDescent="0.25">
      <c r="A1936" t="str">
        <f t="shared" si="30"/>
        <v>2002002224032026M10</v>
      </c>
      <c r="B1936">
        <v>51321001</v>
      </c>
      <c r="C1936">
        <v>22</v>
      </c>
      <c r="D1936">
        <v>200200</v>
      </c>
      <c r="E1936">
        <v>222403</v>
      </c>
      <c r="F1936" t="s">
        <v>115</v>
      </c>
      <c r="G1936" t="s">
        <v>72</v>
      </c>
      <c r="H1936">
        <v>87024.48</v>
      </c>
      <c r="I1936">
        <v>86996.94</v>
      </c>
      <c r="J1936">
        <v>27.54</v>
      </c>
      <c r="K1936">
        <v>0</v>
      </c>
      <c r="L1936">
        <v>0</v>
      </c>
    </row>
    <row r="1937" spans="1:12" x14ac:dyDescent="0.25">
      <c r="A1937" t="str">
        <f t="shared" si="30"/>
        <v>2002002224032026M11</v>
      </c>
      <c r="B1937">
        <v>51321001</v>
      </c>
      <c r="C1937">
        <v>22</v>
      </c>
      <c r="D1937">
        <v>200200</v>
      </c>
      <c r="E1937">
        <v>222403</v>
      </c>
      <c r="F1937" t="s">
        <v>115</v>
      </c>
      <c r="G1937" t="s">
        <v>73</v>
      </c>
      <c r="H1937">
        <v>87000</v>
      </c>
      <c r="I1937">
        <v>0</v>
      </c>
      <c r="J1937">
        <v>87000</v>
      </c>
      <c r="K1937">
        <v>0</v>
      </c>
      <c r="L1937">
        <v>0</v>
      </c>
    </row>
    <row r="1938" spans="1:12" x14ac:dyDescent="0.25">
      <c r="A1938" t="str">
        <f t="shared" si="30"/>
        <v>2002002224032026M12</v>
      </c>
      <c r="B1938">
        <v>51321001</v>
      </c>
      <c r="C1938">
        <v>22</v>
      </c>
      <c r="D1938">
        <v>200200</v>
      </c>
      <c r="E1938">
        <v>222403</v>
      </c>
      <c r="F1938" t="s">
        <v>115</v>
      </c>
      <c r="G1938" t="s">
        <v>74</v>
      </c>
      <c r="H1938">
        <v>174000</v>
      </c>
      <c r="I1938">
        <v>0</v>
      </c>
      <c r="J1938">
        <v>174000</v>
      </c>
      <c r="K1938">
        <v>0</v>
      </c>
      <c r="L1938">
        <v>0</v>
      </c>
    </row>
    <row r="1939" spans="1:12" x14ac:dyDescent="0.25">
      <c r="A1939" t="str">
        <f t="shared" si="30"/>
        <v>2002002224232026M02</v>
      </c>
      <c r="B1939">
        <v>51321001</v>
      </c>
      <c r="C1939">
        <v>22</v>
      </c>
      <c r="D1939">
        <v>200200</v>
      </c>
      <c r="E1939">
        <v>222423</v>
      </c>
      <c r="F1939" t="s">
        <v>115</v>
      </c>
      <c r="G1939" t="s">
        <v>64</v>
      </c>
      <c r="H1939">
        <v>4600.87</v>
      </c>
      <c r="I1939">
        <v>4600.87</v>
      </c>
      <c r="J1939">
        <v>0</v>
      </c>
      <c r="K1939">
        <v>0</v>
      </c>
      <c r="L1939">
        <v>0</v>
      </c>
    </row>
    <row r="1940" spans="1:12" x14ac:dyDescent="0.25">
      <c r="A1940" t="str">
        <f t="shared" si="30"/>
        <v>2002002224232026M03</v>
      </c>
      <c r="B1940">
        <v>51321001</v>
      </c>
      <c r="C1940">
        <v>22</v>
      </c>
      <c r="D1940">
        <v>200200</v>
      </c>
      <c r="E1940">
        <v>222423</v>
      </c>
      <c r="F1940" t="s">
        <v>115</v>
      </c>
      <c r="G1940" t="s">
        <v>65</v>
      </c>
      <c r="H1940">
        <v>4600.87</v>
      </c>
      <c r="I1940">
        <v>4600.87</v>
      </c>
      <c r="J1940">
        <v>0</v>
      </c>
      <c r="K1940">
        <v>0</v>
      </c>
      <c r="L1940">
        <v>0</v>
      </c>
    </row>
    <row r="1941" spans="1:12" x14ac:dyDescent="0.25">
      <c r="A1941" t="str">
        <f t="shared" si="30"/>
        <v>2002002224232026M04</v>
      </c>
      <c r="B1941">
        <v>51321001</v>
      </c>
      <c r="C1941">
        <v>22</v>
      </c>
      <c r="D1941">
        <v>200200</v>
      </c>
      <c r="E1941">
        <v>222423</v>
      </c>
      <c r="F1941" t="s">
        <v>115</v>
      </c>
      <c r="G1941" t="s">
        <v>66</v>
      </c>
      <c r="H1941">
        <v>4600.87</v>
      </c>
      <c r="I1941">
        <v>4600.87</v>
      </c>
      <c r="J1941">
        <v>0</v>
      </c>
      <c r="K1941">
        <v>0</v>
      </c>
      <c r="L1941">
        <v>0</v>
      </c>
    </row>
    <row r="1942" spans="1:12" x14ac:dyDescent="0.25">
      <c r="A1942" t="str">
        <f t="shared" si="30"/>
        <v>2002002224232026M05</v>
      </c>
      <c r="B1942">
        <v>51321001</v>
      </c>
      <c r="C1942">
        <v>22</v>
      </c>
      <c r="D1942">
        <v>200200</v>
      </c>
      <c r="E1942">
        <v>222423</v>
      </c>
      <c r="F1942" t="s">
        <v>115</v>
      </c>
      <c r="G1942" t="s">
        <v>67</v>
      </c>
      <c r="H1942">
        <v>4600.87</v>
      </c>
      <c r="I1942">
        <v>4600.87</v>
      </c>
      <c r="J1942">
        <v>0</v>
      </c>
      <c r="K1942">
        <v>0</v>
      </c>
      <c r="L1942">
        <v>0</v>
      </c>
    </row>
    <row r="1943" spans="1:12" x14ac:dyDescent="0.25">
      <c r="A1943" t="str">
        <f t="shared" si="30"/>
        <v>2002002224232026M06</v>
      </c>
      <c r="B1943">
        <v>51321001</v>
      </c>
      <c r="C1943">
        <v>22</v>
      </c>
      <c r="D1943">
        <v>200200</v>
      </c>
      <c r="E1943">
        <v>222423</v>
      </c>
      <c r="F1943" t="s">
        <v>115</v>
      </c>
      <c r="G1943" t="s">
        <v>68</v>
      </c>
      <c r="H1943">
        <v>4600.87</v>
      </c>
      <c r="I1943">
        <v>4600.87</v>
      </c>
      <c r="J1943">
        <v>0</v>
      </c>
      <c r="K1943">
        <v>0</v>
      </c>
      <c r="L1943">
        <v>0</v>
      </c>
    </row>
    <row r="1944" spans="1:12" x14ac:dyDescent="0.25">
      <c r="A1944" t="str">
        <f t="shared" si="30"/>
        <v>2002002224232026M07</v>
      </c>
      <c r="B1944">
        <v>51321001</v>
      </c>
      <c r="C1944">
        <v>22</v>
      </c>
      <c r="D1944">
        <v>200200</v>
      </c>
      <c r="E1944">
        <v>222423</v>
      </c>
      <c r="F1944" t="s">
        <v>115</v>
      </c>
      <c r="G1944" t="s">
        <v>69</v>
      </c>
      <c r="H1944">
        <v>4600.87</v>
      </c>
      <c r="I1944">
        <v>4600.87</v>
      </c>
      <c r="J1944">
        <v>0</v>
      </c>
      <c r="K1944">
        <v>0</v>
      </c>
      <c r="L1944">
        <v>0</v>
      </c>
    </row>
    <row r="1945" spans="1:12" x14ac:dyDescent="0.25">
      <c r="A1945" t="str">
        <f t="shared" si="30"/>
        <v>2002002224232026M08</v>
      </c>
      <c r="B1945">
        <v>51321001</v>
      </c>
      <c r="C1945">
        <v>22</v>
      </c>
      <c r="D1945">
        <v>200200</v>
      </c>
      <c r="E1945">
        <v>222423</v>
      </c>
      <c r="F1945" t="s">
        <v>115</v>
      </c>
      <c r="G1945" t="s">
        <v>70</v>
      </c>
      <c r="H1945">
        <v>4600.87</v>
      </c>
      <c r="I1945">
        <v>4600.87</v>
      </c>
      <c r="J1945">
        <v>0</v>
      </c>
      <c r="K1945">
        <v>0</v>
      </c>
      <c r="L1945">
        <v>0</v>
      </c>
    </row>
    <row r="1946" spans="1:12" x14ac:dyDescent="0.25">
      <c r="A1946" t="str">
        <f t="shared" si="30"/>
        <v>2002002224232026M09</v>
      </c>
      <c r="B1946">
        <v>51321001</v>
      </c>
      <c r="C1946">
        <v>22</v>
      </c>
      <c r="D1946">
        <v>200200</v>
      </c>
      <c r="E1946">
        <v>222423</v>
      </c>
      <c r="F1946" t="s">
        <v>115</v>
      </c>
      <c r="G1946" t="s">
        <v>71</v>
      </c>
      <c r="H1946">
        <v>4600.87</v>
      </c>
      <c r="I1946">
        <v>4600.87</v>
      </c>
      <c r="J1946">
        <v>0</v>
      </c>
      <c r="K1946">
        <v>0</v>
      </c>
      <c r="L1946">
        <v>0</v>
      </c>
    </row>
    <row r="1947" spans="1:12" x14ac:dyDescent="0.25">
      <c r="A1947" t="str">
        <f t="shared" si="30"/>
        <v>2002002224232026M10</v>
      </c>
      <c r="B1947">
        <v>51321001</v>
      </c>
      <c r="C1947">
        <v>22</v>
      </c>
      <c r="D1947">
        <v>200200</v>
      </c>
      <c r="E1947">
        <v>222423</v>
      </c>
      <c r="F1947" t="s">
        <v>115</v>
      </c>
      <c r="G1947" t="s">
        <v>72</v>
      </c>
      <c r="H1947">
        <v>65000.04</v>
      </c>
      <c r="I1947">
        <v>0</v>
      </c>
      <c r="J1947">
        <v>65000.04</v>
      </c>
      <c r="K1947">
        <v>0</v>
      </c>
      <c r="L1947">
        <v>0</v>
      </c>
    </row>
    <row r="1948" spans="1:12" x14ac:dyDescent="0.25">
      <c r="A1948" t="str">
        <f t="shared" si="30"/>
        <v>2002002224232026M11</v>
      </c>
      <c r="B1948">
        <v>51321001</v>
      </c>
      <c r="C1948">
        <v>22</v>
      </c>
      <c r="D1948">
        <v>200200</v>
      </c>
      <c r="E1948">
        <v>222423</v>
      </c>
      <c r="F1948" t="s">
        <v>115</v>
      </c>
      <c r="G1948" t="s">
        <v>73</v>
      </c>
      <c r="H1948">
        <v>34800</v>
      </c>
      <c r="I1948">
        <v>0</v>
      </c>
      <c r="J1948">
        <v>34800</v>
      </c>
      <c r="K1948">
        <v>0</v>
      </c>
      <c r="L1948">
        <v>0</v>
      </c>
    </row>
    <row r="1949" spans="1:12" x14ac:dyDescent="0.25">
      <c r="A1949" t="str">
        <f t="shared" si="30"/>
        <v>2002002224232026M12</v>
      </c>
      <c r="B1949">
        <v>51321001</v>
      </c>
      <c r="C1949">
        <v>22</v>
      </c>
      <c r="D1949">
        <v>200200</v>
      </c>
      <c r="E1949">
        <v>222423</v>
      </c>
      <c r="F1949" t="s">
        <v>115</v>
      </c>
      <c r="G1949" t="s">
        <v>74</v>
      </c>
      <c r="H1949">
        <v>69601</v>
      </c>
      <c r="I1949">
        <v>0</v>
      </c>
      <c r="J1949">
        <v>69601</v>
      </c>
      <c r="K1949">
        <v>0</v>
      </c>
      <c r="L1949">
        <v>0</v>
      </c>
    </row>
    <row r="1950" spans="1:12" x14ac:dyDescent="0.25">
      <c r="A1950" t="str">
        <f t="shared" si="30"/>
        <v>2002002224282026M02</v>
      </c>
      <c r="B1950">
        <v>51321001</v>
      </c>
      <c r="C1950">
        <v>22</v>
      </c>
      <c r="D1950">
        <v>200200</v>
      </c>
      <c r="E1950">
        <v>222428</v>
      </c>
      <c r="F1950" t="s">
        <v>115</v>
      </c>
      <c r="G1950" t="s">
        <v>64</v>
      </c>
      <c r="H1950">
        <v>26988.94</v>
      </c>
      <c r="I1950">
        <v>26988.94</v>
      </c>
      <c r="J1950">
        <v>0</v>
      </c>
      <c r="K1950">
        <v>0</v>
      </c>
      <c r="L1950">
        <v>0</v>
      </c>
    </row>
    <row r="1951" spans="1:12" x14ac:dyDescent="0.25">
      <c r="A1951" t="str">
        <f t="shared" si="30"/>
        <v>2002002224282026M03</v>
      </c>
      <c r="B1951">
        <v>51321001</v>
      </c>
      <c r="C1951">
        <v>22</v>
      </c>
      <c r="D1951">
        <v>200200</v>
      </c>
      <c r="E1951">
        <v>222428</v>
      </c>
      <c r="F1951" t="s">
        <v>115</v>
      </c>
      <c r="G1951" t="s">
        <v>65</v>
      </c>
      <c r="H1951">
        <v>26988.94</v>
      </c>
      <c r="I1951">
        <v>26988.94</v>
      </c>
      <c r="J1951">
        <v>0</v>
      </c>
      <c r="K1951">
        <v>0</v>
      </c>
      <c r="L1951">
        <v>0</v>
      </c>
    </row>
    <row r="1952" spans="1:12" x14ac:dyDescent="0.25">
      <c r="A1952" t="str">
        <f t="shared" si="30"/>
        <v>2002002224282026M04</v>
      </c>
      <c r="B1952">
        <v>51321001</v>
      </c>
      <c r="C1952">
        <v>22</v>
      </c>
      <c r="D1952">
        <v>200200</v>
      </c>
      <c r="E1952">
        <v>222428</v>
      </c>
      <c r="F1952" t="s">
        <v>115</v>
      </c>
      <c r="G1952" t="s">
        <v>66</v>
      </c>
      <c r="H1952">
        <v>0</v>
      </c>
      <c r="I1952">
        <v>0</v>
      </c>
      <c r="J1952">
        <v>0</v>
      </c>
      <c r="K1952">
        <v>0</v>
      </c>
      <c r="L1952">
        <v>0</v>
      </c>
    </row>
    <row r="1953" spans="1:12" x14ac:dyDescent="0.25">
      <c r="A1953" t="str">
        <f t="shared" si="30"/>
        <v>2002002224282026M05</v>
      </c>
      <c r="B1953">
        <v>51321001</v>
      </c>
      <c r="C1953">
        <v>22</v>
      </c>
      <c r="D1953">
        <v>200200</v>
      </c>
      <c r="E1953">
        <v>222428</v>
      </c>
      <c r="F1953" t="s">
        <v>115</v>
      </c>
      <c r="G1953" t="s">
        <v>67</v>
      </c>
      <c r="H1953">
        <v>0</v>
      </c>
      <c r="I1953">
        <v>0</v>
      </c>
      <c r="J1953">
        <v>0</v>
      </c>
      <c r="K1953">
        <v>0</v>
      </c>
      <c r="L1953">
        <v>0</v>
      </c>
    </row>
    <row r="1954" spans="1:12" x14ac:dyDescent="0.25">
      <c r="A1954" t="str">
        <f t="shared" si="30"/>
        <v>2002002224282026M06</v>
      </c>
      <c r="B1954">
        <v>51321001</v>
      </c>
      <c r="C1954">
        <v>22</v>
      </c>
      <c r="D1954">
        <v>200200</v>
      </c>
      <c r="E1954">
        <v>222428</v>
      </c>
      <c r="F1954" t="s">
        <v>115</v>
      </c>
      <c r="G1954" t="s">
        <v>68</v>
      </c>
      <c r="H1954">
        <v>80966.820000000007</v>
      </c>
      <c r="I1954">
        <v>80966.820000000007</v>
      </c>
      <c r="J1954">
        <v>0</v>
      </c>
      <c r="K1954">
        <v>0</v>
      </c>
      <c r="L1954">
        <v>0</v>
      </c>
    </row>
    <row r="1955" spans="1:12" x14ac:dyDescent="0.25">
      <c r="A1955" t="str">
        <f t="shared" si="30"/>
        <v>2002002224282026M07</v>
      </c>
      <c r="B1955">
        <v>51321001</v>
      </c>
      <c r="C1955">
        <v>22</v>
      </c>
      <c r="D1955">
        <v>200200</v>
      </c>
      <c r="E1955">
        <v>222428</v>
      </c>
      <c r="F1955" t="s">
        <v>115</v>
      </c>
      <c r="G1955" t="s">
        <v>69</v>
      </c>
      <c r="H1955">
        <v>26988.94</v>
      </c>
      <c r="I1955">
        <v>26988.94</v>
      </c>
      <c r="J1955">
        <v>0</v>
      </c>
      <c r="K1955">
        <v>0</v>
      </c>
      <c r="L1955">
        <v>0</v>
      </c>
    </row>
    <row r="1956" spans="1:12" x14ac:dyDescent="0.25">
      <c r="A1956" t="str">
        <f t="shared" si="30"/>
        <v>2002002224282026M08</v>
      </c>
      <c r="B1956">
        <v>51321001</v>
      </c>
      <c r="C1956">
        <v>22</v>
      </c>
      <c r="D1956">
        <v>200200</v>
      </c>
      <c r="E1956">
        <v>222428</v>
      </c>
      <c r="F1956" t="s">
        <v>115</v>
      </c>
      <c r="G1956" t="s">
        <v>70</v>
      </c>
      <c r="H1956">
        <v>26988.94</v>
      </c>
      <c r="I1956">
        <v>26988.94</v>
      </c>
      <c r="J1956">
        <v>0</v>
      </c>
      <c r="K1956">
        <v>0</v>
      </c>
      <c r="L1956">
        <v>0</v>
      </c>
    </row>
    <row r="1957" spans="1:12" x14ac:dyDescent="0.25">
      <c r="A1957" t="str">
        <f t="shared" si="30"/>
        <v>2002002224282026M09</v>
      </c>
      <c r="B1957">
        <v>51321001</v>
      </c>
      <c r="C1957">
        <v>22</v>
      </c>
      <c r="D1957">
        <v>200200</v>
      </c>
      <c r="E1957">
        <v>222428</v>
      </c>
      <c r="F1957" t="s">
        <v>115</v>
      </c>
      <c r="G1957" t="s">
        <v>71</v>
      </c>
      <c r="H1957">
        <v>26988.94</v>
      </c>
      <c r="I1957">
        <v>26988.94</v>
      </c>
      <c r="J1957">
        <v>0</v>
      </c>
      <c r="K1957">
        <v>0</v>
      </c>
      <c r="L1957">
        <v>0</v>
      </c>
    </row>
    <row r="1958" spans="1:12" x14ac:dyDescent="0.25">
      <c r="A1958" t="str">
        <f t="shared" si="30"/>
        <v>2002002224282026M10</v>
      </c>
      <c r="B1958">
        <v>51321001</v>
      </c>
      <c r="C1958">
        <v>22</v>
      </c>
      <c r="D1958">
        <v>200200</v>
      </c>
      <c r="E1958">
        <v>222428</v>
      </c>
      <c r="F1958" t="s">
        <v>115</v>
      </c>
      <c r="G1958" t="s">
        <v>72</v>
      </c>
      <c r="H1958">
        <v>26998.48</v>
      </c>
      <c r="I1958">
        <v>26988.94</v>
      </c>
      <c r="J1958">
        <v>9.5399999999999991</v>
      </c>
      <c r="K1958">
        <v>0</v>
      </c>
      <c r="L1958">
        <v>0</v>
      </c>
    </row>
    <row r="1959" spans="1:12" x14ac:dyDescent="0.25">
      <c r="A1959" t="str">
        <f t="shared" si="30"/>
        <v>2002002224282026M11</v>
      </c>
      <c r="B1959">
        <v>51321001</v>
      </c>
      <c r="C1959">
        <v>22</v>
      </c>
      <c r="D1959">
        <v>200200</v>
      </c>
      <c r="E1959">
        <v>222428</v>
      </c>
      <c r="F1959" t="s">
        <v>115</v>
      </c>
      <c r="G1959" t="s">
        <v>73</v>
      </c>
      <c r="H1959">
        <v>26990</v>
      </c>
      <c r="I1959">
        <v>0</v>
      </c>
      <c r="J1959">
        <v>26990</v>
      </c>
      <c r="K1959">
        <v>0</v>
      </c>
      <c r="L1959">
        <v>0</v>
      </c>
    </row>
    <row r="1960" spans="1:12" x14ac:dyDescent="0.25">
      <c r="A1960" t="str">
        <f t="shared" si="30"/>
        <v>2002002224282026M12</v>
      </c>
      <c r="B1960">
        <v>51321001</v>
      </c>
      <c r="C1960">
        <v>22</v>
      </c>
      <c r="D1960">
        <v>200200</v>
      </c>
      <c r="E1960">
        <v>222428</v>
      </c>
      <c r="F1960" t="s">
        <v>115</v>
      </c>
      <c r="G1960" t="s">
        <v>74</v>
      </c>
      <c r="H1960">
        <v>53980</v>
      </c>
      <c r="I1960">
        <v>0</v>
      </c>
      <c r="J1960">
        <v>53972</v>
      </c>
      <c r="K1960">
        <v>0</v>
      </c>
      <c r="L1960">
        <v>8</v>
      </c>
    </row>
    <row r="1961" spans="1:12" x14ac:dyDescent="0.25">
      <c r="A1961" t="str">
        <f t="shared" si="30"/>
        <v>2002002224382026M02</v>
      </c>
      <c r="B1961">
        <v>51321001</v>
      </c>
      <c r="C1961">
        <v>22</v>
      </c>
      <c r="D1961">
        <v>200200</v>
      </c>
      <c r="E1961">
        <v>222438</v>
      </c>
      <c r="F1961" t="s">
        <v>115</v>
      </c>
      <c r="G1961" t="s">
        <v>64</v>
      </c>
      <c r="H1961">
        <v>0</v>
      </c>
      <c r="I1961">
        <v>0</v>
      </c>
      <c r="J1961">
        <v>0</v>
      </c>
      <c r="K1961">
        <v>0</v>
      </c>
      <c r="L1961">
        <v>0</v>
      </c>
    </row>
    <row r="1962" spans="1:12" x14ac:dyDescent="0.25">
      <c r="A1962" t="str">
        <f t="shared" si="30"/>
        <v>2002002224382026M03</v>
      </c>
      <c r="B1962">
        <v>51321001</v>
      </c>
      <c r="C1962">
        <v>22</v>
      </c>
      <c r="D1962">
        <v>200200</v>
      </c>
      <c r="E1962">
        <v>222438</v>
      </c>
      <c r="F1962" t="s">
        <v>115</v>
      </c>
      <c r="G1962" t="s">
        <v>65</v>
      </c>
      <c r="H1962">
        <v>0</v>
      </c>
      <c r="I1962">
        <v>0</v>
      </c>
      <c r="J1962">
        <v>0</v>
      </c>
      <c r="K1962">
        <v>0</v>
      </c>
      <c r="L1962">
        <v>0</v>
      </c>
    </row>
    <row r="1963" spans="1:12" x14ac:dyDescent="0.25">
      <c r="A1963" t="str">
        <f t="shared" si="30"/>
        <v>2002002224382026M04</v>
      </c>
      <c r="B1963">
        <v>51321001</v>
      </c>
      <c r="C1963">
        <v>22</v>
      </c>
      <c r="D1963">
        <v>200200</v>
      </c>
      <c r="E1963">
        <v>222438</v>
      </c>
      <c r="F1963" t="s">
        <v>115</v>
      </c>
      <c r="G1963" t="s">
        <v>66</v>
      </c>
      <c r="H1963">
        <v>0</v>
      </c>
      <c r="I1963">
        <v>0</v>
      </c>
      <c r="J1963">
        <v>0</v>
      </c>
      <c r="K1963">
        <v>0</v>
      </c>
      <c r="L1963">
        <v>0</v>
      </c>
    </row>
    <row r="1964" spans="1:12" x14ac:dyDescent="0.25">
      <c r="A1964" t="str">
        <f t="shared" si="30"/>
        <v>2002002224382026M05</v>
      </c>
      <c r="B1964">
        <v>51321001</v>
      </c>
      <c r="C1964">
        <v>22</v>
      </c>
      <c r="D1964">
        <v>200200</v>
      </c>
      <c r="E1964">
        <v>222438</v>
      </c>
      <c r="F1964" t="s">
        <v>115</v>
      </c>
      <c r="G1964" t="s">
        <v>67</v>
      </c>
      <c r="H1964">
        <v>0</v>
      </c>
      <c r="I1964">
        <v>0</v>
      </c>
      <c r="J1964">
        <v>0</v>
      </c>
      <c r="K1964">
        <v>0</v>
      </c>
      <c r="L1964">
        <v>0</v>
      </c>
    </row>
    <row r="1965" spans="1:12" x14ac:dyDescent="0.25">
      <c r="A1965" t="str">
        <f t="shared" si="30"/>
        <v>2002002224382026M06</v>
      </c>
      <c r="B1965">
        <v>51321001</v>
      </c>
      <c r="C1965">
        <v>22</v>
      </c>
      <c r="D1965">
        <v>200200</v>
      </c>
      <c r="E1965">
        <v>222438</v>
      </c>
      <c r="F1965" t="s">
        <v>115</v>
      </c>
      <c r="G1965" t="s">
        <v>68</v>
      </c>
      <c r="H1965">
        <v>0</v>
      </c>
      <c r="I1965">
        <v>0</v>
      </c>
      <c r="J1965">
        <v>0</v>
      </c>
      <c r="K1965">
        <v>0</v>
      </c>
      <c r="L1965">
        <v>0</v>
      </c>
    </row>
    <row r="1966" spans="1:12" x14ac:dyDescent="0.25">
      <c r="A1966" t="str">
        <f t="shared" si="30"/>
        <v>2002002224382026M07</v>
      </c>
      <c r="B1966">
        <v>51321001</v>
      </c>
      <c r="C1966">
        <v>22</v>
      </c>
      <c r="D1966">
        <v>200200</v>
      </c>
      <c r="E1966">
        <v>222438</v>
      </c>
      <c r="F1966" t="s">
        <v>115</v>
      </c>
      <c r="G1966" t="s">
        <v>69</v>
      </c>
      <c r="H1966">
        <v>0</v>
      </c>
      <c r="I1966">
        <v>0</v>
      </c>
      <c r="J1966">
        <v>0</v>
      </c>
      <c r="K1966">
        <v>0</v>
      </c>
      <c r="L1966">
        <v>0</v>
      </c>
    </row>
    <row r="1967" spans="1:12" x14ac:dyDescent="0.25">
      <c r="A1967" t="str">
        <f t="shared" si="30"/>
        <v>2002002224382026M08</v>
      </c>
      <c r="B1967">
        <v>51321001</v>
      </c>
      <c r="C1967">
        <v>22</v>
      </c>
      <c r="D1967">
        <v>200200</v>
      </c>
      <c r="E1967">
        <v>222438</v>
      </c>
      <c r="F1967" t="s">
        <v>115</v>
      </c>
      <c r="G1967" t="s">
        <v>70</v>
      </c>
      <c r="H1967">
        <v>0</v>
      </c>
      <c r="I1967">
        <v>0</v>
      </c>
      <c r="J1967">
        <v>0</v>
      </c>
      <c r="K1967">
        <v>0</v>
      </c>
      <c r="L1967">
        <v>0</v>
      </c>
    </row>
    <row r="1968" spans="1:12" x14ac:dyDescent="0.25">
      <c r="A1968" t="str">
        <f t="shared" si="30"/>
        <v>2002002224382026M09</v>
      </c>
      <c r="B1968">
        <v>51321001</v>
      </c>
      <c r="C1968">
        <v>22</v>
      </c>
      <c r="D1968">
        <v>200200</v>
      </c>
      <c r="E1968">
        <v>222438</v>
      </c>
      <c r="F1968" t="s">
        <v>115</v>
      </c>
      <c r="G1968" t="s">
        <v>71</v>
      </c>
      <c r="H1968">
        <v>45400.08</v>
      </c>
      <c r="I1968">
        <v>45400.08</v>
      </c>
      <c r="J1968">
        <v>0</v>
      </c>
      <c r="K1968">
        <v>0</v>
      </c>
      <c r="L1968">
        <v>0</v>
      </c>
    </row>
    <row r="1969" spans="1:12" x14ac:dyDescent="0.25">
      <c r="A1969" t="str">
        <f t="shared" si="30"/>
        <v>2002002224382026M10</v>
      </c>
      <c r="B1969">
        <v>51321001</v>
      </c>
      <c r="C1969">
        <v>22</v>
      </c>
      <c r="D1969">
        <v>200200</v>
      </c>
      <c r="E1969">
        <v>222438</v>
      </c>
      <c r="F1969" t="s">
        <v>115</v>
      </c>
      <c r="G1969" t="s">
        <v>72</v>
      </c>
      <c r="H1969">
        <v>43678.92</v>
      </c>
      <c r="I1969">
        <v>40020</v>
      </c>
      <c r="J1969">
        <v>34.92</v>
      </c>
      <c r="K1969">
        <v>0</v>
      </c>
      <c r="L1969">
        <v>3624</v>
      </c>
    </row>
    <row r="1970" spans="1:12" x14ac:dyDescent="0.25">
      <c r="A1970" t="str">
        <f t="shared" si="30"/>
        <v>2002002224382026M11</v>
      </c>
      <c r="B1970">
        <v>51321001</v>
      </c>
      <c r="C1970">
        <v>22</v>
      </c>
      <c r="D1970">
        <v>200200</v>
      </c>
      <c r="E1970">
        <v>222438</v>
      </c>
      <c r="F1970" t="s">
        <v>115</v>
      </c>
      <c r="G1970" t="s">
        <v>73</v>
      </c>
      <c r="H1970">
        <v>13341</v>
      </c>
      <c r="I1970">
        <v>0</v>
      </c>
      <c r="J1970">
        <v>13341</v>
      </c>
      <c r="K1970">
        <v>0</v>
      </c>
      <c r="L1970">
        <v>0</v>
      </c>
    </row>
    <row r="1971" spans="1:12" x14ac:dyDescent="0.25">
      <c r="A1971" t="str">
        <f t="shared" si="30"/>
        <v>2002002224382026M12</v>
      </c>
      <c r="B1971">
        <v>51321001</v>
      </c>
      <c r="C1971">
        <v>22</v>
      </c>
      <c r="D1971">
        <v>200200</v>
      </c>
      <c r="E1971">
        <v>222438</v>
      </c>
      <c r="F1971" t="s">
        <v>115</v>
      </c>
      <c r="G1971" t="s">
        <v>74</v>
      </c>
      <c r="H1971">
        <v>26682</v>
      </c>
      <c r="I1971">
        <v>0</v>
      </c>
      <c r="J1971">
        <v>26682</v>
      </c>
      <c r="K1971">
        <v>0</v>
      </c>
      <c r="L1971">
        <v>0</v>
      </c>
    </row>
    <row r="1972" spans="1:12" x14ac:dyDescent="0.25">
      <c r="A1972" t="str">
        <f t="shared" si="30"/>
        <v>3102032253012026M02</v>
      </c>
      <c r="B1972">
        <v>51321001</v>
      </c>
      <c r="C1972">
        <v>22</v>
      </c>
      <c r="D1972">
        <v>310203</v>
      </c>
      <c r="E1972">
        <v>225301</v>
      </c>
      <c r="F1972" t="s">
        <v>115</v>
      </c>
      <c r="G1972" t="s">
        <v>64</v>
      </c>
      <c r="H1972">
        <v>0</v>
      </c>
      <c r="I1972">
        <v>0</v>
      </c>
      <c r="J1972">
        <v>0</v>
      </c>
      <c r="K1972">
        <v>0</v>
      </c>
      <c r="L1972">
        <v>0</v>
      </c>
    </row>
    <row r="1973" spans="1:12" x14ac:dyDescent="0.25">
      <c r="A1973" t="str">
        <f t="shared" si="30"/>
        <v>3102032253012026M03</v>
      </c>
      <c r="B1973">
        <v>51321001</v>
      </c>
      <c r="C1973">
        <v>22</v>
      </c>
      <c r="D1973">
        <v>310203</v>
      </c>
      <c r="E1973">
        <v>225301</v>
      </c>
      <c r="F1973" t="s">
        <v>115</v>
      </c>
      <c r="G1973" t="s">
        <v>65</v>
      </c>
      <c r="H1973">
        <v>46399.98</v>
      </c>
      <c r="I1973">
        <v>46399.98</v>
      </c>
      <c r="J1973">
        <v>0</v>
      </c>
      <c r="K1973">
        <v>0</v>
      </c>
      <c r="L1973">
        <v>0</v>
      </c>
    </row>
    <row r="1974" spans="1:12" x14ac:dyDescent="0.25">
      <c r="A1974" t="str">
        <f t="shared" si="30"/>
        <v>3102032253012026M04</v>
      </c>
      <c r="B1974">
        <v>51321001</v>
      </c>
      <c r="C1974">
        <v>22</v>
      </c>
      <c r="D1974">
        <v>310203</v>
      </c>
      <c r="E1974">
        <v>225301</v>
      </c>
      <c r="F1974" t="s">
        <v>115</v>
      </c>
      <c r="G1974" t="s">
        <v>66</v>
      </c>
      <c r="H1974">
        <v>23199.99</v>
      </c>
      <c r="I1974">
        <v>23199.99</v>
      </c>
      <c r="J1974">
        <v>0</v>
      </c>
      <c r="K1974">
        <v>0</v>
      </c>
      <c r="L1974">
        <v>0</v>
      </c>
    </row>
    <row r="1975" spans="1:12" x14ac:dyDescent="0.25">
      <c r="A1975" t="str">
        <f t="shared" si="30"/>
        <v>3102032253012026M05</v>
      </c>
      <c r="B1975">
        <v>51321001</v>
      </c>
      <c r="C1975">
        <v>22</v>
      </c>
      <c r="D1975">
        <v>310203</v>
      </c>
      <c r="E1975">
        <v>225301</v>
      </c>
      <c r="F1975" t="s">
        <v>115</v>
      </c>
      <c r="G1975" t="s">
        <v>67</v>
      </c>
      <c r="H1975">
        <v>23199.99</v>
      </c>
      <c r="I1975">
        <v>23199.99</v>
      </c>
      <c r="J1975">
        <v>0</v>
      </c>
      <c r="K1975">
        <v>0</v>
      </c>
      <c r="L1975">
        <v>0</v>
      </c>
    </row>
    <row r="1976" spans="1:12" x14ac:dyDescent="0.25">
      <c r="A1976" t="str">
        <f t="shared" si="30"/>
        <v>3102032253012026M06</v>
      </c>
      <c r="B1976">
        <v>51321001</v>
      </c>
      <c r="C1976">
        <v>22</v>
      </c>
      <c r="D1976">
        <v>310203</v>
      </c>
      <c r="E1976">
        <v>225301</v>
      </c>
      <c r="F1976" t="s">
        <v>115</v>
      </c>
      <c r="G1976" t="s">
        <v>68</v>
      </c>
      <c r="H1976">
        <v>23199.99</v>
      </c>
      <c r="I1976">
        <v>23199.99</v>
      </c>
      <c r="J1976">
        <v>0</v>
      </c>
      <c r="K1976">
        <v>0</v>
      </c>
      <c r="L1976">
        <v>0</v>
      </c>
    </row>
    <row r="1977" spans="1:12" x14ac:dyDescent="0.25">
      <c r="A1977" t="str">
        <f t="shared" si="30"/>
        <v>3102032253012026M07</v>
      </c>
      <c r="B1977">
        <v>51321001</v>
      </c>
      <c r="C1977">
        <v>22</v>
      </c>
      <c r="D1977">
        <v>310203</v>
      </c>
      <c r="E1977">
        <v>225301</v>
      </c>
      <c r="F1977" t="s">
        <v>115</v>
      </c>
      <c r="G1977" t="s">
        <v>69</v>
      </c>
      <c r="H1977">
        <v>23199.99</v>
      </c>
      <c r="I1977">
        <v>23199.99</v>
      </c>
      <c r="J1977">
        <v>0</v>
      </c>
      <c r="K1977">
        <v>0</v>
      </c>
      <c r="L1977">
        <v>0</v>
      </c>
    </row>
    <row r="1978" spans="1:12" x14ac:dyDescent="0.25">
      <c r="A1978" t="str">
        <f t="shared" si="30"/>
        <v>3102032253012026M08</v>
      </c>
      <c r="B1978">
        <v>51321001</v>
      </c>
      <c r="C1978">
        <v>22</v>
      </c>
      <c r="D1978">
        <v>310203</v>
      </c>
      <c r="E1978">
        <v>225301</v>
      </c>
      <c r="F1978" t="s">
        <v>115</v>
      </c>
      <c r="G1978" t="s">
        <v>70</v>
      </c>
      <c r="H1978">
        <v>23199.99</v>
      </c>
      <c r="I1978">
        <v>23199.99</v>
      </c>
      <c r="J1978">
        <v>0</v>
      </c>
      <c r="K1978">
        <v>0</v>
      </c>
      <c r="L1978">
        <v>0</v>
      </c>
    </row>
    <row r="1979" spans="1:12" x14ac:dyDescent="0.25">
      <c r="A1979" t="str">
        <f t="shared" si="30"/>
        <v>3102032253012026M09</v>
      </c>
      <c r="B1979">
        <v>51321001</v>
      </c>
      <c r="C1979">
        <v>22</v>
      </c>
      <c r="D1979">
        <v>310203</v>
      </c>
      <c r="E1979">
        <v>225301</v>
      </c>
      <c r="F1979" t="s">
        <v>115</v>
      </c>
      <c r="G1979" t="s">
        <v>71</v>
      </c>
      <c r="H1979">
        <v>23199.99</v>
      </c>
      <c r="I1979">
        <v>23199.99</v>
      </c>
      <c r="J1979">
        <v>0</v>
      </c>
      <c r="K1979">
        <v>0</v>
      </c>
      <c r="L1979">
        <v>0</v>
      </c>
    </row>
    <row r="1980" spans="1:12" x14ac:dyDescent="0.25">
      <c r="A1980" t="str">
        <f t="shared" si="30"/>
        <v>3102032253012026M10</v>
      </c>
      <c r="B1980">
        <v>51321001</v>
      </c>
      <c r="C1980">
        <v>22</v>
      </c>
      <c r="D1980">
        <v>310203</v>
      </c>
      <c r="E1980">
        <v>225301</v>
      </c>
      <c r="F1980" t="s">
        <v>115</v>
      </c>
      <c r="G1980" t="s">
        <v>72</v>
      </c>
      <c r="H1980">
        <v>23200.080000000002</v>
      </c>
      <c r="I1980">
        <v>23199.99</v>
      </c>
      <c r="J1980">
        <v>0.09</v>
      </c>
      <c r="K1980">
        <v>0</v>
      </c>
      <c r="L1980">
        <v>0</v>
      </c>
    </row>
    <row r="1981" spans="1:12" x14ac:dyDescent="0.25">
      <c r="A1981" t="str">
        <f t="shared" si="30"/>
        <v>3102032253012026M11</v>
      </c>
      <c r="B1981">
        <v>51321001</v>
      </c>
      <c r="C1981">
        <v>22</v>
      </c>
      <c r="D1981">
        <v>310203</v>
      </c>
      <c r="E1981">
        <v>225301</v>
      </c>
      <c r="F1981" t="s">
        <v>115</v>
      </c>
      <c r="G1981" t="s">
        <v>73</v>
      </c>
      <c r="H1981">
        <v>23200</v>
      </c>
      <c r="I1981">
        <v>0</v>
      </c>
      <c r="J1981">
        <v>23200</v>
      </c>
      <c r="K1981">
        <v>0</v>
      </c>
      <c r="L1981">
        <v>0</v>
      </c>
    </row>
    <row r="1982" spans="1:12" x14ac:dyDescent="0.25">
      <c r="A1982" t="str">
        <f t="shared" si="30"/>
        <v>3102032253012026M12</v>
      </c>
      <c r="B1982">
        <v>51321001</v>
      </c>
      <c r="C1982">
        <v>22</v>
      </c>
      <c r="D1982">
        <v>310203</v>
      </c>
      <c r="E1982">
        <v>225301</v>
      </c>
      <c r="F1982" t="s">
        <v>115</v>
      </c>
      <c r="G1982" t="s">
        <v>74</v>
      </c>
      <c r="H1982">
        <v>46400</v>
      </c>
      <c r="I1982">
        <v>0</v>
      </c>
      <c r="J1982">
        <v>46400</v>
      </c>
      <c r="K1982">
        <v>0</v>
      </c>
      <c r="L1982">
        <v>0</v>
      </c>
    </row>
    <row r="1983" spans="1:12" x14ac:dyDescent="0.25">
      <c r="A1983" t="str">
        <f t="shared" si="30"/>
        <v>3802002259012026M02</v>
      </c>
      <c r="B1983">
        <v>51321001</v>
      </c>
      <c r="C1983">
        <v>22</v>
      </c>
      <c r="D1983">
        <v>380200</v>
      </c>
      <c r="E1983">
        <v>225901</v>
      </c>
      <c r="F1983" t="s">
        <v>115</v>
      </c>
      <c r="G1983" t="s">
        <v>64</v>
      </c>
      <c r="H1983">
        <v>62862.400000000001</v>
      </c>
      <c r="I1983">
        <v>62862.400000000001</v>
      </c>
      <c r="J1983">
        <v>0</v>
      </c>
      <c r="K1983">
        <v>0</v>
      </c>
      <c r="L1983">
        <v>0</v>
      </c>
    </row>
    <row r="1984" spans="1:12" x14ac:dyDescent="0.25">
      <c r="A1984" t="str">
        <f t="shared" si="30"/>
        <v>3802002259012026M03</v>
      </c>
      <c r="B1984">
        <v>51321001</v>
      </c>
      <c r="C1984">
        <v>22</v>
      </c>
      <c r="D1984">
        <v>380200</v>
      </c>
      <c r="E1984">
        <v>225901</v>
      </c>
      <c r="F1984" t="s">
        <v>115</v>
      </c>
      <c r="G1984" t="s">
        <v>65</v>
      </c>
      <c r="H1984">
        <v>62862.400000000001</v>
      </c>
      <c r="I1984">
        <v>62862.400000000001</v>
      </c>
      <c r="J1984">
        <v>0</v>
      </c>
      <c r="K1984">
        <v>0</v>
      </c>
      <c r="L1984">
        <v>0</v>
      </c>
    </row>
    <row r="1985" spans="1:12" x14ac:dyDescent="0.25">
      <c r="A1985" t="str">
        <f t="shared" si="30"/>
        <v>3802002259012026M04</v>
      </c>
      <c r="B1985">
        <v>51321001</v>
      </c>
      <c r="C1985">
        <v>22</v>
      </c>
      <c r="D1985">
        <v>380200</v>
      </c>
      <c r="E1985">
        <v>225901</v>
      </c>
      <c r="F1985" t="s">
        <v>115</v>
      </c>
      <c r="G1985" t="s">
        <v>66</v>
      </c>
      <c r="H1985">
        <v>62862.400000000001</v>
      </c>
      <c r="I1985">
        <v>62862.400000000001</v>
      </c>
      <c r="J1985">
        <v>0</v>
      </c>
      <c r="K1985">
        <v>0</v>
      </c>
      <c r="L1985">
        <v>0</v>
      </c>
    </row>
    <row r="1986" spans="1:12" x14ac:dyDescent="0.25">
      <c r="A1986" t="str">
        <f t="shared" si="30"/>
        <v>3802002259012026M05</v>
      </c>
      <c r="B1986">
        <v>51321001</v>
      </c>
      <c r="C1986">
        <v>22</v>
      </c>
      <c r="D1986">
        <v>380200</v>
      </c>
      <c r="E1986">
        <v>225901</v>
      </c>
      <c r="F1986" t="s">
        <v>115</v>
      </c>
      <c r="G1986" t="s">
        <v>67</v>
      </c>
      <c r="H1986">
        <v>62862.400000000001</v>
      </c>
      <c r="I1986">
        <v>62862.400000000001</v>
      </c>
      <c r="J1986">
        <v>0</v>
      </c>
      <c r="K1986">
        <v>0</v>
      </c>
      <c r="L1986">
        <v>0</v>
      </c>
    </row>
    <row r="1987" spans="1:12" x14ac:dyDescent="0.25">
      <c r="A1987" t="str">
        <f t="shared" si="30"/>
        <v>3802002259012026M06</v>
      </c>
      <c r="B1987">
        <v>51321001</v>
      </c>
      <c r="C1987">
        <v>22</v>
      </c>
      <c r="D1987">
        <v>380200</v>
      </c>
      <c r="E1987">
        <v>225901</v>
      </c>
      <c r="F1987" t="s">
        <v>115</v>
      </c>
      <c r="G1987" t="s">
        <v>68</v>
      </c>
      <c r="H1987">
        <v>62862.400000000001</v>
      </c>
      <c r="I1987">
        <v>62862.400000000001</v>
      </c>
      <c r="J1987">
        <v>0</v>
      </c>
      <c r="K1987">
        <v>0</v>
      </c>
      <c r="L1987">
        <v>0</v>
      </c>
    </row>
    <row r="1988" spans="1:12" x14ac:dyDescent="0.25">
      <c r="A1988" t="str">
        <f t="shared" si="30"/>
        <v>3802002259012026M07</v>
      </c>
      <c r="B1988">
        <v>51321001</v>
      </c>
      <c r="C1988">
        <v>22</v>
      </c>
      <c r="D1988">
        <v>380200</v>
      </c>
      <c r="E1988">
        <v>225901</v>
      </c>
      <c r="F1988" t="s">
        <v>115</v>
      </c>
      <c r="G1988" t="s">
        <v>69</v>
      </c>
      <c r="H1988">
        <v>62862.400000000001</v>
      </c>
      <c r="I1988">
        <v>62862.400000000001</v>
      </c>
      <c r="J1988">
        <v>0</v>
      </c>
      <c r="K1988">
        <v>0</v>
      </c>
      <c r="L1988">
        <v>0</v>
      </c>
    </row>
    <row r="1989" spans="1:12" x14ac:dyDescent="0.25">
      <c r="A1989" t="str">
        <f t="shared" si="30"/>
        <v>3802002259012026M08</v>
      </c>
      <c r="B1989">
        <v>51321001</v>
      </c>
      <c r="C1989">
        <v>22</v>
      </c>
      <c r="D1989">
        <v>380200</v>
      </c>
      <c r="E1989">
        <v>225901</v>
      </c>
      <c r="F1989" t="s">
        <v>115</v>
      </c>
      <c r="G1989" t="s">
        <v>70</v>
      </c>
      <c r="H1989">
        <v>62862.400000000001</v>
      </c>
      <c r="I1989">
        <v>62862.400000000001</v>
      </c>
      <c r="J1989">
        <v>0</v>
      </c>
      <c r="K1989">
        <v>0</v>
      </c>
      <c r="L1989">
        <v>0</v>
      </c>
    </row>
    <row r="1990" spans="1:12" x14ac:dyDescent="0.25">
      <c r="A1990" t="str">
        <f t="shared" si="30"/>
        <v>3802002259012026M09</v>
      </c>
      <c r="B1990">
        <v>51321001</v>
      </c>
      <c r="C1990">
        <v>22</v>
      </c>
      <c r="D1990">
        <v>380200</v>
      </c>
      <c r="E1990">
        <v>225901</v>
      </c>
      <c r="F1990" t="s">
        <v>115</v>
      </c>
      <c r="G1990" t="s">
        <v>71</v>
      </c>
      <c r="H1990">
        <v>62862.400000000001</v>
      </c>
      <c r="I1990">
        <v>62862.400000000001</v>
      </c>
      <c r="J1990">
        <v>0</v>
      </c>
      <c r="K1990">
        <v>0</v>
      </c>
      <c r="L1990">
        <v>0</v>
      </c>
    </row>
    <row r="1991" spans="1:12" x14ac:dyDescent="0.25">
      <c r="A1991" t="str">
        <f t="shared" si="30"/>
        <v>3802002259012026M10</v>
      </c>
      <c r="B1991">
        <v>51321001</v>
      </c>
      <c r="C1991">
        <v>22</v>
      </c>
      <c r="D1991">
        <v>380200</v>
      </c>
      <c r="E1991">
        <v>225901</v>
      </c>
      <c r="F1991" t="s">
        <v>115</v>
      </c>
      <c r="G1991" t="s">
        <v>72</v>
      </c>
      <c r="H1991">
        <v>153389.79999999999</v>
      </c>
      <c r="I1991">
        <v>62862.400000000001</v>
      </c>
      <c r="J1991">
        <v>90527.4</v>
      </c>
      <c r="K1991">
        <v>0</v>
      </c>
      <c r="L1991">
        <v>0</v>
      </c>
    </row>
    <row r="1992" spans="1:12" x14ac:dyDescent="0.25">
      <c r="A1992" t="str">
        <f t="shared" si="30"/>
        <v>3802002259012026M11</v>
      </c>
      <c r="B1992">
        <v>51321001</v>
      </c>
      <c r="C1992">
        <v>22</v>
      </c>
      <c r="D1992">
        <v>380200</v>
      </c>
      <c r="E1992">
        <v>225901</v>
      </c>
      <c r="F1992" t="s">
        <v>115</v>
      </c>
      <c r="G1992" t="s">
        <v>73</v>
      </c>
      <c r="H1992">
        <v>72921</v>
      </c>
      <c r="I1992">
        <v>0</v>
      </c>
      <c r="J1992">
        <v>72921</v>
      </c>
      <c r="K1992">
        <v>0</v>
      </c>
      <c r="L1992">
        <v>0</v>
      </c>
    </row>
    <row r="1993" spans="1:12" x14ac:dyDescent="0.25">
      <c r="A1993" t="str">
        <f t="shared" si="30"/>
        <v>3802002259012026M12</v>
      </c>
      <c r="B1993">
        <v>51321001</v>
      </c>
      <c r="C1993">
        <v>22</v>
      </c>
      <c r="D1993">
        <v>380200</v>
      </c>
      <c r="E1993">
        <v>225901</v>
      </c>
      <c r="F1993" t="s">
        <v>115</v>
      </c>
      <c r="G1993" t="s">
        <v>74</v>
      </c>
      <c r="H1993">
        <v>145842</v>
      </c>
      <c r="I1993">
        <v>0</v>
      </c>
      <c r="J1993">
        <v>145835</v>
      </c>
      <c r="K1993">
        <v>0</v>
      </c>
      <c r="L1993">
        <v>7</v>
      </c>
    </row>
    <row r="1994" spans="1:12" x14ac:dyDescent="0.25">
      <c r="A1994" t="str">
        <f t="shared" si="30"/>
        <v>9001102291032026M02</v>
      </c>
      <c r="B1994">
        <v>51321001</v>
      </c>
      <c r="C1994">
        <v>22</v>
      </c>
      <c r="D1994">
        <v>900110</v>
      </c>
      <c r="E1994">
        <v>229103</v>
      </c>
      <c r="F1994" t="s">
        <v>115</v>
      </c>
      <c r="G1994" t="s">
        <v>64</v>
      </c>
      <c r="H1994">
        <v>0</v>
      </c>
      <c r="I1994">
        <v>0</v>
      </c>
      <c r="J1994">
        <v>0</v>
      </c>
      <c r="K1994">
        <v>0</v>
      </c>
      <c r="L1994">
        <v>0</v>
      </c>
    </row>
    <row r="1995" spans="1:12" x14ac:dyDescent="0.25">
      <c r="A1995" t="str">
        <f t="shared" ref="A1995:A2058" si="31">D1995&amp;E1995&amp;G1995</f>
        <v>9001102291032026M03</v>
      </c>
      <c r="B1995">
        <v>51321001</v>
      </c>
      <c r="C1995">
        <v>22</v>
      </c>
      <c r="D1995">
        <v>900110</v>
      </c>
      <c r="E1995">
        <v>229103</v>
      </c>
      <c r="F1995" t="s">
        <v>115</v>
      </c>
      <c r="G1995" t="s">
        <v>65</v>
      </c>
      <c r="H1995">
        <v>115995.92</v>
      </c>
      <c r="I1995">
        <v>115995.92</v>
      </c>
      <c r="J1995">
        <v>0</v>
      </c>
      <c r="K1995">
        <v>0</v>
      </c>
      <c r="L1995">
        <v>0</v>
      </c>
    </row>
    <row r="1996" spans="1:12" x14ac:dyDescent="0.25">
      <c r="A1996" t="str">
        <f t="shared" si="31"/>
        <v>9001102291032026M04</v>
      </c>
      <c r="B1996">
        <v>51321001</v>
      </c>
      <c r="C1996">
        <v>22</v>
      </c>
      <c r="D1996">
        <v>900110</v>
      </c>
      <c r="E1996">
        <v>229103</v>
      </c>
      <c r="F1996" t="s">
        <v>115</v>
      </c>
      <c r="G1996" t="s">
        <v>66</v>
      </c>
      <c r="H1996">
        <v>57997.96</v>
      </c>
      <c r="I1996">
        <v>57997.96</v>
      </c>
      <c r="J1996">
        <v>0</v>
      </c>
      <c r="K1996">
        <v>0</v>
      </c>
      <c r="L1996">
        <v>0</v>
      </c>
    </row>
    <row r="1997" spans="1:12" x14ac:dyDescent="0.25">
      <c r="A1997" t="str">
        <f t="shared" si="31"/>
        <v>9001102291032026M05</v>
      </c>
      <c r="B1997">
        <v>51321001</v>
      </c>
      <c r="C1997">
        <v>22</v>
      </c>
      <c r="D1997">
        <v>900110</v>
      </c>
      <c r="E1997">
        <v>229103</v>
      </c>
      <c r="F1997" t="s">
        <v>115</v>
      </c>
      <c r="G1997" t="s">
        <v>67</v>
      </c>
      <c r="H1997">
        <v>57997.96</v>
      </c>
      <c r="I1997">
        <v>57997.96</v>
      </c>
      <c r="J1997">
        <v>0</v>
      </c>
      <c r="K1997">
        <v>0</v>
      </c>
      <c r="L1997">
        <v>0</v>
      </c>
    </row>
    <row r="1998" spans="1:12" x14ac:dyDescent="0.25">
      <c r="A1998" t="str">
        <f t="shared" si="31"/>
        <v>9001102291032026M06</v>
      </c>
      <c r="B1998">
        <v>51321001</v>
      </c>
      <c r="C1998">
        <v>22</v>
      </c>
      <c r="D1998">
        <v>900110</v>
      </c>
      <c r="E1998">
        <v>229103</v>
      </c>
      <c r="F1998" t="s">
        <v>115</v>
      </c>
      <c r="G1998" t="s">
        <v>68</v>
      </c>
      <c r="H1998">
        <v>57997.96</v>
      </c>
      <c r="I1998">
        <v>57997.96</v>
      </c>
      <c r="J1998">
        <v>0</v>
      </c>
      <c r="K1998">
        <v>0</v>
      </c>
      <c r="L1998">
        <v>0</v>
      </c>
    </row>
    <row r="1999" spans="1:12" x14ac:dyDescent="0.25">
      <c r="A1999" t="str">
        <f t="shared" si="31"/>
        <v>9001102291032026M07</v>
      </c>
      <c r="B1999">
        <v>51321001</v>
      </c>
      <c r="C1999">
        <v>22</v>
      </c>
      <c r="D1999">
        <v>900110</v>
      </c>
      <c r="E1999">
        <v>229103</v>
      </c>
      <c r="F1999" t="s">
        <v>115</v>
      </c>
      <c r="G1999" t="s">
        <v>69</v>
      </c>
      <c r="H1999">
        <v>57997.96</v>
      </c>
      <c r="I1999">
        <v>57997.96</v>
      </c>
      <c r="J1999">
        <v>0</v>
      </c>
      <c r="K1999">
        <v>0</v>
      </c>
      <c r="L1999">
        <v>0</v>
      </c>
    </row>
    <row r="2000" spans="1:12" x14ac:dyDescent="0.25">
      <c r="A2000" t="str">
        <f t="shared" si="31"/>
        <v>9001102291032026M08</v>
      </c>
      <c r="B2000">
        <v>51321001</v>
      </c>
      <c r="C2000">
        <v>22</v>
      </c>
      <c r="D2000">
        <v>900110</v>
      </c>
      <c r="E2000">
        <v>229103</v>
      </c>
      <c r="F2000" t="s">
        <v>115</v>
      </c>
      <c r="G2000" t="s">
        <v>70</v>
      </c>
      <c r="H2000">
        <v>57997.96</v>
      </c>
      <c r="I2000">
        <v>57997.96</v>
      </c>
      <c r="J2000">
        <v>0</v>
      </c>
      <c r="K2000">
        <v>0</v>
      </c>
      <c r="L2000">
        <v>0</v>
      </c>
    </row>
    <row r="2001" spans="1:12" x14ac:dyDescent="0.25">
      <c r="A2001" t="str">
        <f t="shared" si="31"/>
        <v>9001102291032026M09</v>
      </c>
      <c r="B2001">
        <v>51321001</v>
      </c>
      <c r="C2001">
        <v>22</v>
      </c>
      <c r="D2001">
        <v>900110</v>
      </c>
      <c r="E2001">
        <v>229103</v>
      </c>
      <c r="F2001" t="s">
        <v>115</v>
      </c>
      <c r="G2001" t="s">
        <v>71</v>
      </c>
      <c r="H2001">
        <v>57997.96</v>
      </c>
      <c r="I2001">
        <v>57997.96</v>
      </c>
      <c r="J2001">
        <v>0</v>
      </c>
      <c r="K2001">
        <v>0</v>
      </c>
      <c r="L2001">
        <v>0</v>
      </c>
    </row>
    <row r="2002" spans="1:12" x14ac:dyDescent="0.25">
      <c r="A2002" t="str">
        <f t="shared" si="31"/>
        <v>9001102291032026M10</v>
      </c>
      <c r="B2002">
        <v>51321001</v>
      </c>
      <c r="C2002">
        <v>22</v>
      </c>
      <c r="D2002">
        <v>900110</v>
      </c>
      <c r="E2002">
        <v>229103</v>
      </c>
      <c r="F2002" t="s">
        <v>115</v>
      </c>
      <c r="G2002" t="s">
        <v>72</v>
      </c>
      <c r="H2002">
        <v>58016.32</v>
      </c>
      <c r="I2002">
        <v>57997.96</v>
      </c>
      <c r="J2002">
        <v>18.36</v>
      </c>
      <c r="K2002">
        <v>0</v>
      </c>
      <c r="L2002">
        <v>0</v>
      </c>
    </row>
    <row r="2003" spans="1:12" x14ac:dyDescent="0.25">
      <c r="A2003" t="str">
        <f t="shared" si="31"/>
        <v>9001102291032026M11</v>
      </c>
      <c r="B2003">
        <v>51321001</v>
      </c>
      <c r="C2003">
        <v>22</v>
      </c>
      <c r="D2003">
        <v>900110</v>
      </c>
      <c r="E2003">
        <v>229103</v>
      </c>
      <c r="F2003" t="s">
        <v>115</v>
      </c>
      <c r="G2003" t="s">
        <v>73</v>
      </c>
      <c r="H2003">
        <v>58000</v>
      </c>
      <c r="I2003">
        <v>0</v>
      </c>
      <c r="J2003">
        <v>58000</v>
      </c>
      <c r="K2003">
        <v>0</v>
      </c>
      <c r="L2003">
        <v>0</v>
      </c>
    </row>
    <row r="2004" spans="1:12" x14ac:dyDescent="0.25">
      <c r="A2004" t="str">
        <f t="shared" si="31"/>
        <v>9001102291032026M12</v>
      </c>
      <c r="B2004">
        <v>51321001</v>
      </c>
      <c r="C2004">
        <v>22</v>
      </c>
      <c r="D2004">
        <v>900110</v>
      </c>
      <c r="E2004">
        <v>229103</v>
      </c>
      <c r="F2004" t="s">
        <v>115</v>
      </c>
      <c r="G2004" t="s">
        <v>74</v>
      </c>
      <c r="H2004">
        <v>116000</v>
      </c>
      <c r="I2004">
        <v>0</v>
      </c>
      <c r="J2004">
        <v>116000</v>
      </c>
      <c r="K2004">
        <v>0</v>
      </c>
      <c r="L2004">
        <v>0</v>
      </c>
    </row>
    <row r="2005" spans="1:12" x14ac:dyDescent="0.25">
      <c r="A2005" t="str">
        <f t="shared" si="31"/>
        <v>9001102291042026M02</v>
      </c>
      <c r="B2005">
        <v>51321001</v>
      </c>
      <c r="C2005">
        <v>22</v>
      </c>
      <c r="D2005">
        <v>900110</v>
      </c>
      <c r="E2005">
        <v>229104</v>
      </c>
      <c r="F2005" t="s">
        <v>115</v>
      </c>
      <c r="G2005" t="s">
        <v>64</v>
      </c>
      <c r="H2005">
        <v>0</v>
      </c>
      <c r="I2005">
        <v>0</v>
      </c>
      <c r="J2005">
        <v>0</v>
      </c>
      <c r="K2005">
        <v>0</v>
      </c>
      <c r="L2005">
        <v>0</v>
      </c>
    </row>
    <row r="2006" spans="1:12" x14ac:dyDescent="0.25">
      <c r="A2006" t="str">
        <f t="shared" si="31"/>
        <v>9001102291042026M03</v>
      </c>
      <c r="B2006">
        <v>51321001</v>
      </c>
      <c r="C2006">
        <v>22</v>
      </c>
      <c r="D2006">
        <v>900110</v>
      </c>
      <c r="E2006">
        <v>229104</v>
      </c>
      <c r="F2006" t="s">
        <v>115</v>
      </c>
      <c r="G2006" t="s">
        <v>65</v>
      </c>
      <c r="H2006">
        <v>57181.15</v>
      </c>
      <c r="I2006">
        <v>57181.15</v>
      </c>
      <c r="J2006">
        <v>0</v>
      </c>
      <c r="K2006">
        <v>0</v>
      </c>
      <c r="L2006">
        <v>0</v>
      </c>
    </row>
    <row r="2007" spans="1:12" x14ac:dyDescent="0.25">
      <c r="A2007" t="str">
        <f t="shared" si="31"/>
        <v>9001102291042026M04</v>
      </c>
      <c r="B2007">
        <v>51321001</v>
      </c>
      <c r="C2007">
        <v>22</v>
      </c>
      <c r="D2007">
        <v>900110</v>
      </c>
      <c r="E2007">
        <v>229104</v>
      </c>
      <c r="F2007" t="s">
        <v>115</v>
      </c>
      <c r="G2007" t="s">
        <v>66</v>
      </c>
      <c r="H2007">
        <v>28590.57</v>
      </c>
      <c r="I2007">
        <v>28590.57</v>
      </c>
      <c r="J2007">
        <v>0</v>
      </c>
      <c r="K2007">
        <v>0</v>
      </c>
      <c r="L2007">
        <v>0</v>
      </c>
    </row>
    <row r="2008" spans="1:12" x14ac:dyDescent="0.25">
      <c r="A2008" t="str">
        <f t="shared" si="31"/>
        <v>9001102291042026M05</v>
      </c>
      <c r="B2008">
        <v>51321001</v>
      </c>
      <c r="C2008">
        <v>22</v>
      </c>
      <c r="D2008">
        <v>900110</v>
      </c>
      <c r="E2008">
        <v>229104</v>
      </c>
      <c r="F2008" t="s">
        <v>115</v>
      </c>
      <c r="G2008" t="s">
        <v>67</v>
      </c>
      <c r="H2008">
        <v>28590.57</v>
      </c>
      <c r="I2008">
        <v>28590.57</v>
      </c>
      <c r="J2008">
        <v>0</v>
      </c>
      <c r="K2008">
        <v>0</v>
      </c>
      <c r="L2008">
        <v>0</v>
      </c>
    </row>
    <row r="2009" spans="1:12" x14ac:dyDescent="0.25">
      <c r="A2009" t="str">
        <f t="shared" si="31"/>
        <v>9001102291042026M06</v>
      </c>
      <c r="B2009">
        <v>51321001</v>
      </c>
      <c r="C2009">
        <v>22</v>
      </c>
      <c r="D2009">
        <v>900110</v>
      </c>
      <c r="E2009">
        <v>229104</v>
      </c>
      <c r="F2009" t="s">
        <v>115</v>
      </c>
      <c r="G2009" t="s">
        <v>68</v>
      </c>
      <c r="H2009">
        <v>28590.57</v>
      </c>
      <c r="I2009">
        <v>28590.57</v>
      </c>
      <c r="J2009">
        <v>0</v>
      </c>
      <c r="K2009">
        <v>0</v>
      </c>
      <c r="L2009">
        <v>0</v>
      </c>
    </row>
    <row r="2010" spans="1:12" x14ac:dyDescent="0.25">
      <c r="A2010" t="str">
        <f t="shared" si="31"/>
        <v>9001102291042026M07</v>
      </c>
      <c r="B2010">
        <v>51321001</v>
      </c>
      <c r="C2010">
        <v>22</v>
      </c>
      <c r="D2010">
        <v>900110</v>
      </c>
      <c r="E2010">
        <v>229104</v>
      </c>
      <c r="F2010" t="s">
        <v>115</v>
      </c>
      <c r="G2010" t="s">
        <v>69</v>
      </c>
      <c r="H2010">
        <v>28590.57</v>
      </c>
      <c r="I2010">
        <v>28590.57</v>
      </c>
      <c r="J2010">
        <v>0</v>
      </c>
      <c r="K2010">
        <v>0</v>
      </c>
      <c r="L2010">
        <v>0</v>
      </c>
    </row>
    <row r="2011" spans="1:12" x14ac:dyDescent="0.25">
      <c r="A2011" t="str">
        <f t="shared" si="31"/>
        <v>9001102291042026M08</v>
      </c>
      <c r="B2011">
        <v>51321001</v>
      </c>
      <c r="C2011">
        <v>22</v>
      </c>
      <c r="D2011">
        <v>900110</v>
      </c>
      <c r="E2011">
        <v>229104</v>
      </c>
      <c r="F2011" t="s">
        <v>115</v>
      </c>
      <c r="G2011" t="s">
        <v>70</v>
      </c>
      <c r="H2011">
        <v>28590.57</v>
      </c>
      <c r="I2011">
        <v>28590.57</v>
      </c>
      <c r="J2011">
        <v>0</v>
      </c>
      <c r="K2011">
        <v>0</v>
      </c>
      <c r="L2011">
        <v>0</v>
      </c>
    </row>
    <row r="2012" spans="1:12" x14ac:dyDescent="0.25">
      <c r="A2012" t="str">
        <f t="shared" si="31"/>
        <v>9001102291042026M09</v>
      </c>
      <c r="B2012">
        <v>51321001</v>
      </c>
      <c r="C2012">
        <v>22</v>
      </c>
      <c r="D2012">
        <v>900110</v>
      </c>
      <c r="E2012">
        <v>229104</v>
      </c>
      <c r="F2012" t="s">
        <v>115</v>
      </c>
      <c r="G2012" t="s">
        <v>71</v>
      </c>
      <c r="H2012">
        <v>28590.57</v>
      </c>
      <c r="I2012">
        <v>28590.57</v>
      </c>
      <c r="J2012">
        <v>0</v>
      </c>
      <c r="K2012">
        <v>0</v>
      </c>
      <c r="L2012">
        <v>0</v>
      </c>
    </row>
    <row r="2013" spans="1:12" x14ac:dyDescent="0.25">
      <c r="A2013" t="str">
        <f t="shared" si="31"/>
        <v>9001102291042026M10</v>
      </c>
      <c r="B2013">
        <v>51321001</v>
      </c>
      <c r="C2013">
        <v>22</v>
      </c>
      <c r="D2013">
        <v>900110</v>
      </c>
      <c r="E2013">
        <v>229104</v>
      </c>
      <c r="F2013" t="s">
        <v>115</v>
      </c>
      <c r="G2013" t="s">
        <v>72</v>
      </c>
      <c r="H2013">
        <v>28594.43</v>
      </c>
      <c r="I2013">
        <v>28590.57</v>
      </c>
      <c r="J2013">
        <v>3.86</v>
      </c>
      <c r="K2013">
        <v>0</v>
      </c>
      <c r="L2013">
        <v>0</v>
      </c>
    </row>
    <row r="2014" spans="1:12" x14ac:dyDescent="0.25">
      <c r="A2014" t="str">
        <f t="shared" si="31"/>
        <v>9001102291042026M11</v>
      </c>
      <c r="B2014">
        <v>51321001</v>
      </c>
      <c r="C2014">
        <v>22</v>
      </c>
      <c r="D2014">
        <v>900110</v>
      </c>
      <c r="E2014">
        <v>229104</v>
      </c>
      <c r="F2014" t="s">
        <v>115</v>
      </c>
      <c r="G2014" t="s">
        <v>73</v>
      </c>
      <c r="H2014">
        <v>28591</v>
      </c>
      <c r="I2014">
        <v>0</v>
      </c>
      <c r="J2014">
        <v>28591</v>
      </c>
      <c r="K2014">
        <v>0</v>
      </c>
      <c r="L2014">
        <v>0</v>
      </c>
    </row>
    <row r="2015" spans="1:12" x14ac:dyDescent="0.25">
      <c r="A2015" t="str">
        <f t="shared" si="31"/>
        <v>9001102291042026M12</v>
      </c>
      <c r="B2015">
        <v>51321001</v>
      </c>
      <c r="C2015">
        <v>22</v>
      </c>
      <c r="D2015">
        <v>900110</v>
      </c>
      <c r="E2015">
        <v>229104</v>
      </c>
      <c r="F2015" t="s">
        <v>115</v>
      </c>
      <c r="G2015" t="s">
        <v>74</v>
      </c>
      <c r="H2015">
        <v>57182</v>
      </c>
      <c r="I2015">
        <v>0</v>
      </c>
      <c r="J2015">
        <v>57179</v>
      </c>
      <c r="K2015">
        <v>0</v>
      </c>
      <c r="L2015">
        <v>3</v>
      </c>
    </row>
    <row r="2016" spans="1:12" x14ac:dyDescent="0.25">
      <c r="A2016" t="str">
        <f t="shared" si="31"/>
        <v>1401002390012026M02</v>
      </c>
      <c r="B2016">
        <v>51321001</v>
      </c>
      <c r="C2016">
        <v>23</v>
      </c>
      <c r="D2016">
        <v>140100</v>
      </c>
      <c r="E2016">
        <v>239001</v>
      </c>
      <c r="F2016" t="s">
        <v>115</v>
      </c>
      <c r="G2016" t="s">
        <v>64</v>
      </c>
      <c r="H2016">
        <v>0</v>
      </c>
      <c r="I2016">
        <v>0</v>
      </c>
      <c r="J2016">
        <v>0</v>
      </c>
      <c r="K2016">
        <v>0</v>
      </c>
      <c r="L2016">
        <v>0</v>
      </c>
    </row>
    <row r="2017" spans="1:12" x14ac:dyDescent="0.25">
      <c r="A2017" t="str">
        <f t="shared" si="31"/>
        <v>1401002390012026M03</v>
      </c>
      <c r="B2017">
        <v>51321001</v>
      </c>
      <c r="C2017">
        <v>23</v>
      </c>
      <c r="D2017">
        <v>140100</v>
      </c>
      <c r="E2017">
        <v>239001</v>
      </c>
      <c r="F2017" t="s">
        <v>115</v>
      </c>
      <c r="G2017" t="s">
        <v>65</v>
      </c>
      <c r="H2017">
        <v>720380.7</v>
      </c>
      <c r="I2017">
        <v>720380.7</v>
      </c>
      <c r="J2017">
        <v>0</v>
      </c>
      <c r="K2017">
        <v>0</v>
      </c>
      <c r="L2017">
        <v>0</v>
      </c>
    </row>
    <row r="2018" spans="1:12" x14ac:dyDescent="0.25">
      <c r="A2018" t="str">
        <f t="shared" si="31"/>
        <v>1401002390012026M04</v>
      </c>
      <c r="B2018">
        <v>51321001</v>
      </c>
      <c r="C2018">
        <v>23</v>
      </c>
      <c r="D2018">
        <v>140100</v>
      </c>
      <c r="E2018">
        <v>239001</v>
      </c>
      <c r="F2018" t="s">
        <v>115</v>
      </c>
      <c r="G2018" t="s">
        <v>66</v>
      </c>
      <c r="H2018">
        <v>360190.35</v>
      </c>
      <c r="I2018">
        <v>360190.35</v>
      </c>
      <c r="J2018">
        <v>0</v>
      </c>
      <c r="K2018">
        <v>0</v>
      </c>
      <c r="L2018">
        <v>0</v>
      </c>
    </row>
    <row r="2019" spans="1:12" x14ac:dyDescent="0.25">
      <c r="A2019" t="str">
        <f t="shared" si="31"/>
        <v>1401002390012026M05</v>
      </c>
      <c r="B2019">
        <v>51321001</v>
      </c>
      <c r="C2019">
        <v>23</v>
      </c>
      <c r="D2019">
        <v>140100</v>
      </c>
      <c r="E2019">
        <v>239001</v>
      </c>
      <c r="F2019" t="s">
        <v>115</v>
      </c>
      <c r="G2019" t="s">
        <v>67</v>
      </c>
      <c r="H2019">
        <v>360190.35</v>
      </c>
      <c r="I2019">
        <v>360190.35</v>
      </c>
      <c r="J2019">
        <v>0</v>
      </c>
      <c r="K2019">
        <v>0</v>
      </c>
      <c r="L2019">
        <v>0</v>
      </c>
    </row>
    <row r="2020" spans="1:12" x14ac:dyDescent="0.25">
      <c r="A2020" t="str">
        <f t="shared" si="31"/>
        <v>1401002390012026M06</v>
      </c>
      <c r="B2020">
        <v>51321001</v>
      </c>
      <c r="C2020">
        <v>23</v>
      </c>
      <c r="D2020">
        <v>140100</v>
      </c>
      <c r="E2020">
        <v>239001</v>
      </c>
      <c r="F2020" t="s">
        <v>115</v>
      </c>
      <c r="G2020" t="s">
        <v>68</v>
      </c>
      <c r="H2020">
        <v>360190.35</v>
      </c>
      <c r="I2020">
        <v>360190.35</v>
      </c>
      <c r="J2020">
        <v>0</v>
      </c>
      <c r="K2020">
        <v>0</v>
      </c>
      <c r="L2020">
        <v>0</v>
      </c>
    </row>
    <row r="2021" spans="1:12" x14ac:dyDescent="0.25">
      <c r="A2021" t="str">
        <f t="shared" si="31"/>
        <v>1401002390012026M07</v>
      </c>
      <c r="B2021">
        <v>51321001</v>
      </c>
      <c r="C2021">
        <v>23</v>
      </c>
      <c r="D2021">
        <v>140100</v>
      </c>
      <c r="E2021">
        <v>239001</v>
      </c>
      <c r="F2021" t="s">
        <v>115</v>
      </c>
      <c r="G2021" t="s">
        <v>69</v>
      </c>
      <c r="H2021">
        <v>360190.35</v>
      </c>
      <c r="I2021">
        <v>360190.35</v>
      </c>
      <c r="J2021">
        <v>0</v>
      </c>
      <c r="K2021">
        <v>0</v>
      </c>
      <c r="L2021">
        <v>0</v>
      </c>
    </row>
    <row r="2022" spans="1:12" x14ac:dyDescent="0.25">
      <c r="A2022" t="str">
        <f t="shared" si="31"/>
        <v>1401002390012026M08</v>
      </c>
      <c r="B2022">
        <v>51321001</v>
      </c>
      <c r="C2022">
        <v>23</v>
      </c>
      <c r="D2022">
        <v>140100</v>
      </c>
      <c r="E2022">
        <v>239001</v>
      </c>
      <c r="F2022" t="s">
        <v>115</v>
      </c>
      <c r="G2022" t="s">
        <v>70</v>
      </c>
      <c r="H2022">
        <v>360190.35</v>
      </c>
      <c r="I2022">
        <v>360190.35</v>
      </c>
      <c r="J2022">
        <v>0</v>
      </c>
      <c r="K2022">
        <v>0</v>
      </c>
      <c r="L2022">
        <v>0</v>
      </c>
    </row>
    <row r="2023" spans="1:12" x14ac:dyDescent="0.25">
      <c r="A2023" t="str">
        <f t="shared" si="31"/>
        <v>1401002390012026M09</v>
      </c>
      <c r="B2023">
        <v>51321001</v>
      </c>
      <c r="C2023">
        <v>23</v>
      </c>
      <c r="D2023">
        <v>140100</v>
      </c>
      <c r="E2023">
        <v>239001</v>
      </c>
      <c r="F2023" t="s">
        <v>115</v>
      </c>
      <c r="G2023" t="s">
        <v>71</v>
      </c>
      <c r="H2023">
        <v>360190.35</v>
      </c>
      <c r="I2023">
        <v>360190.35</v>
      </c>
      <c r="J2023">
        <v>0</v>
      </c>
      <c r="K2023">
        <v>0</v>
      </c>
      <c r="L2023">
        <v>0</v>
      </c>
    </row>
    <row r="2024" spans="1:12" x14ac:dyDescent="0.25">
      <c r="A2024" t="str">
        <f t="shared" si="31"/>
        <v>1401002390012026M10</v>
      </c>
      <c r="B2024">
        <v>51321001</v>
      </c>
      <c r="C2024">
        <v>23</v>
      </c>
      <c r="D2024">
        <v>140100</v>
      </c>
      <c r="E2024">
        <v>239001</v>
      </c>
      <c r="F2024" t="s">
        <v>115</v>
      </c>
      <c r="G2024" t="s">
        <v>72</v>
      </c>
      <c r="H2024">
        <v>360196.2</v>
      </c>
      <c r="I2024">
        <v>360190.35</v>
      </c>
      <c r="J2024">
        <v>0</v>
      </c>
      <c r="K2024">
        <v>0</v>
      </c>
      <c r="L2024">
        <v>5.85</v>
      </c>
    </row>
    <row r="2025" spans="1:12" x14ac:dyDescent="0.25">
      <c r="A2025" t="str">
        <f t="shared" si="31"/>
        <v>1401002390012026M11</v>
      </c>
      <c r="B2025">
        <v>51321001</v>
      </c>
      <c r="C2025">
        <v>23</v>
      </c>
      <c r="D2025">
        <v>140100</v>
      </c>
      <c r="E2025">
        <v>239001</v>
      </c>
      <c r="F2025" t="s">
        <v>115</v>
      </c>
      <c r="G2025" t="s">
        <v>73</v>
      </c>
      <c r="H2025">
        <v>360191</v>
      </c>
      <c r="I2025">
        <v>0</v>
      </c>
      <c r="J2025">
        <v>360190.35</v>
      </c>
      <c r="K2025">
        <v>0</v>
      </c>
      <c r="L2025">
        <v>0.65</v>
      </c>
    </row>
    <row r="2026" spans="1:12" x14ac:dyDescent="0.25">
      <c r="A2026" t="str">
        <f t="shared" si="31"/>
        <v>1401002390012026M12</v>
      </c>
      <c r="B2026">
        <v>51321001</v>
      </c>
      <c r="C2026">
        <v>23</v>
      </c>
      <c r="D2026">
        <v>140100</v>
      </c>
      <c r="E2026">
        <v>239001</v>
      </c>
      <c r="F2026" t="s">
        <v>115</v>
      </c>
      <c r="G2026" t="s">
        <v>74</v>
      </c>
      <c r="H2026">
        <v>720382</v>
      </c>
      <c r="I2026">
        <v>0</v>
      </c>
      <c r="J2026">
        <v>720380.7</v>
      </c>
      <c r="K2026">
        <v>0</v>
      </c>
      <c r="L2026">
        <v>1.3</v>
      </c>
    </row>
    <row r="2027" spans="1:12" x14ac:dyDescent="0.25">
      <c r="A2027" t="str">
        <f t="shared" si="31"/>
        <v>2002002324182026M02</v>
      </c>
      <c r="B2027">
        <v>51321001</v>
      </c>
      <c r="C2027">
        <v>23</v>
      </c>
      <c r="D2027">
        <v>200200</v>
      </c>
      <c r="E2027">
        <v>232418</v>
      </c>
      <c r="F2027" t="s">
        <v>115</v>
      </c>
      <c r="G2027" t="s">
        <v>64</v>
      </c>
      <c r="H2027">
        <v>0</v>
      </c>
      <c r="I2027">
        <v>0</v>
      </c>
      <c r="J2027">
        <v>0</v>
      </c>
      <c r="K2027">
        <v>0</v>
      </c>
      <c r="L2027">
        <v>0</v>
      </c>
    </row>
    <row r="2028" spans="1:12" x14ac:dyDescent="0.25">
      <c r="A2028" t="str">
        <f t="shared" si="31"/>
        <v>2002002324182026M03</v>
      </c>
      <c r="B2028">
        <v>51321001</v>
      </c>
      <c r="C2028">
        <v>23</v>
      </c>
      <c r="D2028">
        <v>200200</v>
      </c>
      <c r="E2028">
        <v>232418</v>
      </c>
      <c r="F2028" t="s">
        <v>115</v>
      </c>
      <c r="G2028" t="s">
        <v>65</v>
      </c>
      <c r="H2028">
        <v>0</v>
      </c>
      <c r="I2028">
        <v>0</v>
      </c>
      <c r="J2028">
        <v>0</v>
      </c>
      <c r="K2028">
        <v>0</v>
      </c>
      <c r="L2028">
        <v>0</v>
      </c>
    </row>
    <row r="2029" spans="1:12" x14ac:dyDescent="0.25">
      <c r="A2029" t="str">
        <f t="shared" si="31"/>
        <v>2002002324182026M04</v>
      </c>
      <c r="B2029">
        <v>51321001</v>
      </c>
      <c r="C2029">
        <v>23</v>
      </c>
      <c r="D2029">
        <v>200200</v>
      </c>
      <c r="E2029">
        <v>232418</v>
      </c>
      <c r="F2029" t="s">
        <v>115</v>
      </c>
      <c r="G2029" t="s">
        <v>66</v>
      </c>
      <c r="H2029">
        <v>0</v>
      </c>
      <c r="I2029">
        <v>0</v>
      </c>
      <c r="J2029">
        <v>0</v>
      </c>
      <c r="K2029">
        <v>0</v>
      </c>
      <c r="L2029">
        <v>0</v>
      </c>
    </row>
    <row r="2030" spans="1:12" x14ac:dyDescent="0.25">
      <c r="A2030" t="str">
        <f t="shared" si="31"/>
        <v>2002002324182026M05</v>
      </c>
      <c r="B2030">
        <v>51321001</v>
      </c>
      <c r="C2030">
        <v>23</v>
      </c>
      <c r="D2030">
        <v>200200</v>
      </c>
      <c r="E2030">
        <v>232418</v>
      </c>
      <c r="F2030" t="s">
        <v>115</v>
      </c>
      <c r="G2030" t="s">
        <v>67</v>
      </c>
      <c r="H2030">
        <v>0</v>
      </c>
      <c r="I2030">
        <v>0</v>
      </c>
      <c r="J2030">
        <v>0</v>
      </c>
      <c r="K2030">
        <v>0</v>
      </c>
      <c r="L2030">
        <v>0</v>
      </c>
    </row>
    <row r="2031" spans="1:12" x14ac:dyDescent="0.25">
      <c r="A2031" t="str">
        <f t="shared" si="31"/>
        <v>2002002324182026M06</v>
      </c>
      <c r="B2031">
        <v>51321001</v>
      </c>
      <c r="C2031">
        <v>23</v>
      </c>
      <c r="D2031">
        <v>200200</v>
      </c>
      <c r="E2031">
        <v>232418</v>
      </c>
      <c r="F2031" t="s">
        <v>115</v>
      </c>
      <c r="G2031" t="s">
        <v>68</v>
      </c>
      <c r="H2031">
        <v>0</v>
      </c>
      <c r="I2031">
        <v>0</v>
      </c>
      <c r="J2031">
        <v>0</v>
      </c>
      <c r="K2031">
        <v>0</v>
      </c>
      <c r="L2031">
        <v>0</v>
      </c>
    </row>
    <row r="2032" spans="1:12" x14ac:dyDescent="0.25">
      <c r="A2032" t="str">
        <f t="shared" si="31"/>
        <v>2002002324182026M07</v>
      </c>
      <c r="B2032">
        <v>51321001</v>
      </c>
      <c r="C2032">
        <v>23</v>
      </c>
      <c r="D2032">
        <v>200200</v>
      </c>
      <c r="E2032">
        <v>232418</v>
      </c>
      <c r="F2032" t="s">
        <v>115</v>
      </c>
      <c r="G2032" t="s">
        <v>69</v>
      </c>
      <c r="H2032">
        <v>0</v>
      </c>
      <c r="I2032">
        <v>0</v>
      </c>
      <c r="J2032">
        <v>0</v>
      </c>
      <c r="K2032">
        <v>0</v>
      </c>
      <c r="L2032">
        <v>0</v>
      </c>
    </row>
    <row r="2033" spans="1:12" x14ac:dyDescent="0.25">
      <c r="A2033" t="str">
        <f t="shared" si="31"/>
        <v>2002002324182026M08</v>
      </c>
      <c r="B2033">
        <v>51321001</v>
      </c>
      <c r="C2033">
        <v>23</v>
      </c>
      <c r="D2033">
        <v>200200</v>
      </c>
      <c r="E2033">
        <v>232418</v>
      </c>
      <c r="F2033" t="s">
        <v>115</v>
      </c>
      <c r="G2033" t="s">
        <v>70</v>
      </c>
      <c r="H2033">
        <v>0</v>
      </c>
      <c r="I2033">
        <v>0</v>
      </c>
      <c r="J2033">
        <v>0</v>
      </c>
      <c r="K2033">
        <v>0</v>
      </c>
      <c r="L2033">
        <v>0</v>
      </c>
    </row>
    <row r="2034" spans="1:12" x14ac:dyDescent="0.25">
      <c r="A2034" t="str">
        <f t="shared" si="31"/>
        <v>2002002324182026M09</v>
      </c>
      <c r="B2034">
        <v>51321001</v>
      </c>
      <c r="C2034">
        <v>23</v>
      </c>
      <c r="D2034">
        <v>200200</v>
      </c>
      <c r="E2034">
        <v>232418</v>
      </c>
      <c r="F2034" t="s">
        <v>115</v>
      </c>
      <c r="G2034" t="s">
        <v>71</v>
      </c>
      <c r="H2034">
        <v>0</v>
      </c>
      <c r="I2034">
        <v>0</v>
      </c>
      <c r="J2034">
        <v>0</v>
      </c>
      <c r="K2034">
        <v>0</v>
      </c>
      <c r="L2034">
        <v>0</v>
      </c>
    </row>
    <row r="2035" spans="1:12" x14ac:dyDescent="0.25">
      <c r="A2035" t="str">
        <f t="shared" si="31"/>
        <v>2002002324182026M10</v>
      </c>
      <c r="B2035">
        <v>51321001</v>
      </c>
      <c r="C2035">
        <v>23</v>
      </c>
      <c r="D2035">
        <v>200200</v>
      </c>
      <c r="E2035">
        <v>232418</v>
      </c>
      <c r="F2035" t="s">
        <v>115</v>
      </c>
      <c r="G2035" t="s">
        <v>72</v>
      </c>
      <c r="H2035">
        <v>0</v>
      </c>
      <c r="I2035">
        <v>0</v>
      </c>
      <c r="J2035">
        <v>0</v>
      </c>
      <c r="K2035">
        <v>0</v>
      </c>
      <c r="L2035">
        <v>0</v>
      </c>
    </row>
    <row r="2036" spans="1:12" x14ac:dyDescent="0.25">
      <c r="A2036" t="str">
        <f t="shared" si="31"/>
        <v>2002002324182026M11</v>
      </c>
      <c r="B2036">
        <v>51321001</v>
      </c>
      <c r="C2036">
        <v>23</v>
      </c>
      <c r="D2036">
        <v>200200</v>
      </c>
      <c r="E2036">
        <v>232418</v>
      </c>
      <c r="F2036" t="s">
        <v>115</v>
      </c>
      <c r="G2036" t="s">
        <v>73</v>
      </c>
      <c r="H2036">
        <v>0</v>
      </c>
      <c r="I2036">
        <v>0</v>
      </c>
      <c r="J2036">
        <v>0</v>
      </c>
      <c r="K2036">
        <v>0</v>
      </c>
      <c r="L2036">
        <v>0</v>
      </c>
    </row>
    <row r="2037" spans="1:12" x14ac:dyDescent="0.25">
      <c r="A2037" t="str">
        <f t="shared" si="31"/>
        <v>2002002324182026M12</v>
      </c>
      <c r="B2037">
        <v>51321001</v>
      </c>
      <c r="C2037">
        <v>23</v>
      </c>
      <c r="D2037">
        <v>200200</v>
      </c>
      <c r="E2037">
        <v>232418</v>
      </c>
      <c r="F2037" t="s">
        <v>115</v>
      </c>
      <c r="G2037" t="s">
        <v>74</v>
      </c>
      <c r="H2037">
        <v>0</v>
      </c>
      <c r="I2037">
        <v>0</v>
      </c>
      <c r="J2037">
        <v>0</v>
      </c>
      <c r="K2037">
        <v>0</v>
      </c>
      <c r="L2037">
        <v>0</v>
      </c>
    </row>
    <row r="2038" spans="1:12" x14ac:dyDescent="0.25">
      <c r="A2038" t="str">
        <f t="shared" si="31"/>
        <v>3001002390012026M02</v>
      </c>
      <c r="B2038">
        <v>51321001</v>
      </c>
      <c r="C2038">
        <v>23</v>
      </c>
      <c r="D2038">
        <v>300100</v>
      </c>
      <c r="E2038">
        <v>239001</v>
      </c>
      <c r="F2038" t="s">
        <v>115</v>
      </c>
      <c r="G2038" t="s">
        <v>64</v>
      </c>
      <c r="H2038">
        <v>0</v>
      </c>
      <c r="I2038">
        <v>0</v>
      </c>
      <c r="J2038">
        <v>0</v>
      </c>
      <c r="K2038">
        <v>0</v>
      </c>
      <c r="L2038">
        <v>0</v>
      </c>
    </row>
    <row r="2039" spans="1:12" x14ac:dyDescent="0.25">
      <c r="A2039" t="str">
        <f t="shared" si="31"/>
        <v>3001002390012026M03</v>
      </c>
      <c r="B2039">
        <v>51321001</v>
      </c>
      <c r="C2039">
        <v>23</v>
      </c>
      <c r="D2039">
        <v>300100</v>
      </c>
      <c r="E2039">
        <v>239001</v>
      </c>
      <c r="F2039" t="s">
        <v>115</v>
      </c>
      <c r="G2039" t="s">
        <v>65</v>
      </c>
      <c r="H2039">
        <v>94399.97</v>
      </c>
      <c r="I2039">
        <v>94399.97</v>
      </c>
      <c r="J2039">
        <v>0</v>
      </c>
      <c r="K2039">
        <v>0</v>
      </c>
      <c r="L2039">
        <v>0</v>
      </c>
    </row>
    <row r="2040" spans="1:12" x14ac:dyDescent="0.25">
      <c r="A2040" t="str">
        <f t="shared" si="31"/>
        <v>3001002390012026M04</v>
      </c>
      <c r="B2040">
        <v>51321001</v>
      </c>
      <c r="C2040">
        <v>23</v>
      </c>
      <c r="D2040">
        <v>300100</v>
      </c>
      <c r="E2040">
        <v>239001</v>
      </c>
      <c r="F2040" t="s">
        <v>115</v>
      </c>
      <c r="G2040" t="s">
        <v>66</v>
      </c>
      <c r="H2040">
        <v>188799.94</v>
      </c>
      <c r="I2040">
        <v>188799.94</v>
      </c>
      <c r="J2040">
        <v>0</v>
      </c>
      <c r="K2040">
        <v>0</v>
      </c>
      <c r="L2040">
        <v>0</v>
      </c>
    </row>
    <row r="2041" spans="1:12" x14ac:dyDescent="0.25">
      <c r="A2041" t="str">
        <f t="shared" si="31"/>
        <v>3001002390012026M05</v>
      </c>
      <c r="B2041">
        <v>51321001</v>
      </c>
      <c r="C2041">
        <v>23</v>
      </c>
      <c r="D2041">
        <v>300100</v>
      </c>
      <c r="E2041">
        <v>239001</v>
      </c>
      <c r="F2041" t="s">
        <v>115</v>
      </c>
      <c r="G2041" t="s">
        <v>67</v>
      </c>
      <c r="H2041">
        <v>94399.97</v>
      </c>
      <c r="I2041">
        <v>94399.97</v>
      </c>
      <c r="J2041">
        <v>0</v>
      </c>
      <c r="K2041">
        <v>0</v>
      </c>
      <c r="L2041">
        <v>0</v>
      </c>
    </row>
    <row r="2042" spans="1:12" x14ac:dyDescent="0.25">
      <c r="A2042" t="str">
        <f t="shared" si="31"/>
        <v>3001002390012026M06</v>
      </c>
      <c r="B2042">
        <v>51321001</v>
      </c>
      <c r="C2042">
        <v>23</v>
      </c>
      <c r="D2042">
        <v>300100</v>
      </c>
      <c r="E2042">
        <v>239001</v>
      </c>
      <c r="F2042" t="s">
        <v>115</v>
      </c>
      <c r="G2042" t="s">
        <v>68</v>
      </c>
      <c r="H2042">
        <v>94399.97</v>
      </c>
      <c r="I2042">
        <v>94399.97</v>
      </c>
      <c r="J2042">
        <v>0</v>
      </c>
      <c r="K2042">
        <v>0</v>
      </c>
      <c r="L2042">
        <v>0</v>
      </c>
    </row>
    <row r="2043" spans="1:12" x14ac:dyDescent="0.25">
      <c r="A2043" t="str">
        <f t="shared" si="31"/>
        <v>3001002390012026M07</v>
      </c>
      <c r="B2043">
        <v>51321001</v>
      </c>
      <c r="C2043">
        <v>23</v>
      </c>
      <c r="D2043">
        <v>300100</v>
      </c>
      <c r="E2043">
        <v>239001</v>
      </c>
      <c r="F2043" t="s">
        <v>115</v>
      </c>
      <c r="G2043" t="s">
        <v>69</v>
      </c>
      <c r="H2043">
        <v>94399.97</v>
      </c>
      <c r="I2043">
        <v>94399.97</v>
      </c>
      <c r="J2043">
        <v>0</v>
      </c>
      <c r="K2043">
        <v>0</v>
      </c>
      <c r="L2043">
        <v>0</v>
      </c>
    </row>
    <row r="2044" spans="1:12" x14ac:dyDescent="0.25">
      <c r="A2044" t="str">
        <f t="shared" si="31"/>
        <v>3001002390012026M08</v>
      </c>
      <c r="B2044">
        <v>51321001</v>
      </c>
      <c r="C2044">
        <v>23</v>
      </c>
      <c r="D2044">
        <v>300100</v>
      </c>
      <c r="E2044">
        <v>239001</v>
      </c>
      <c r="F2044" t="s">
        <v>115</v>
      </c>
      <c r="G2044" t="s">
        <v>70</v>
      </c>
      <c r="H2044">
        <v>94399.97</v>
      </c>
      <c r="I2044">
        <v>94399.97</v>
      </c>
      <c r="J2044">
        <v>0</v>
      </c>
      <c r="K2044">
        <v>0</v>
      </c>
      <c r="L2044">
        <v>0</v>
      </c>
    </row>
    <row r="2045" spans="1:12" x14ac:dyDescent="0.25">
      <c r="A2045" t="str">
        <f t="shared" si="31"/>
        <v>3001002390012026M09</v>
      </c>
      <c r="B2045">
        <v>51321001</v>
      </c>
      <c r="C2045">
        <v>23</v>
      </c>
      <c r="D2045">
        <v>300100</v>
      </c>
      <c r="E2045">
        <v>239001</v>
      </c>
      <c r="F2045" t="s">
        <v>115</v>
      </c>
      <c r="G2045" t="s">
        <v>71</v>
      </c>
      <c r="H2045">
        <v>94399.97</v>
      </c>
      <c r="I2045">
        <v>94399.97</v>
      </c>
      <c r="J2045">
        <v>0</v>
      </c>
      <c r="K2045">
        <v>0</v>
      </c>
      <c r="L2045">
        <v>0</v>
      </c>
    </row>
    <row r="2046" spans="1:12" x14ac:dyDescent="0.25">
      <c r="A2046" t="str">
        <f t="shared" si="31"/>
        <v>3001002390012026M10</v>
      </c>
      <c r="B2046">
        <v>51321001</v>
      </c>
      <c r="C2046">
        <v>23</v>
      </c>
      <c r="D2046">
        <v>300100</v>
      </c>
      <c r="E2046">
        <v>239001</v>
      </c>
      <c r="F2046" t="s">
        <v>115</v>
      </c>
      <c r="G2046" t="s">
        <v>72</v>
      </c>
      <c r="H2046">
        <v>230336.24</v>
      </c>
      <c r="I2046">
        <v>94399.97</v>
      </c>
      <c r="J2046">
        <v>135936.26999999999</v>
      </c>
      <c r="K2046">
        <v>0</v>
      </c>
      <c r="L2046">
        <v>0</v>
      </c>
    </row>
    <row r="2047" spans="1:12" x14ac:dyDescent="0.25">
      <c r="A2047" t="str">
        <f t="shared" si="31"/>
        <v>3001002390012026M11</v>
      </c>
      <c r="B2047">
        <v>51321001</v>
      </c>
      <c r="C2047">
        <v>23</v>
      </c>
      <c r="D2047">
        <v>300100</v>
      </c>
      <c r="E2047">
        <v>239001</v>
      </c>
      <c r="F2047" t="s">
        <v>115</v>
      </c>
      <c r="G2047" t="s">
        <v>73</v>
      </c>
      <c r="H2047">
        <v>109504</v>
      </c>
      <c r="I2047">
        <v>0</v>
      </c>
      <c r="J2047">
        <v>109504</v>
      </c>
      <c r="K2047">
        <v>0</v>
      </c>
      <c r="L2047">
        <v>0</v>
      </c>
    </row>
    <row r="2048" spans="1:12" x14ac:dyDescent="0.25">
      <c r="A2048" t="str">
        <f t="shared" si="31"/>
        <v>3001002390012026M12</v>
      </c>
      <c r="B2048">
        <v>51321001</v>
      </c>
      <c r="C2048">
        <v>23</v>
      </c>
      <c r="D2048">
        <v>300100</v>
      </c>
      <c r="E2048">
        <v>239001</v>
      </c>
      <c r="F2048" t="s">
        <v>115</v>
      </c>
      <c r="G2048" t="s">
        <v>74</v>
      </c>
      <c r="H2048">
        <v>219008</v>
      </c>
      <c r="I2048">
        <v>0</v>
      </c>
      <c r="J2048">
        <v>219008</v>
      </c>
      <c r="K2048">
        <v>0</v>
      </c>
      <c r="L2048">
        <v>0</v>
      </c>
    </row>
    <row r="2049" spans="1:12" x14ac:dyDescent="0.25">
      <c r="A2049" t="str">
        <f t="shared" si="31"/>
        <v>3802002359012026M02</v>
      </c>
      <c r="B2049">
        <v>51321001</v>
      </c>
      <c r="C2049">
        <v>23</v>
      </c>
      <c r="D2049">
        <v>380200</v>
      </c>
      <c r="E2049">
        <v>235901</v>
      </c>
      <c r="F2049" t="s">
        <v>115</v>
      </c>
      <c r="G2049" t="s">
        <v>64</v>
      </c>
      <c r="H2049">
        <v>0</v>
      </c>
      <c r="I2049">
        <v>0</v>
      </c>
      <c r="J2049">
        <v>0</v>
      </c>
      <c r="K2049">
        <v>0</v>
      </c>
      <c r="L2049">
        <v>0</v>
      </c>
    </row>
    <row r="2050" spans="1:12" x14ac:dyDescent="0.25">
      <c r="A2050" t="str">
        <f t="shared" si="31"/>
        <v>3802002359012026M03</v>
      </c>
      <c r="B2050">
        <v>51321001</v>
      </c>
      <c r="C2050">
        <v>23</v>
      </c>
      <c r="D2050">
        <v>380200</v>
      </c>
      <c r="E2050">
        <v>235901</v>
      </c>
      <c r="F2050" t="s">
        <v>115</v>
      </c>
      <c r="G2050" t="s">
        <v>65</v>
      </c>
      <c r="H2050">
        <v>227359.88</v>
      </c>
      <c r="I2050">
        <v>227359.88</v>
      </c>
      <c r="J2050">
        <v>0</v>
      </c>
      <c r="K2050">
        <v>0</v>
      </c>
      <c r="L2050">
        <v>0</v>
      </c>
    </row>
    <row r="2051" spans="1:12" x14ac:dyDescent="0.25">
      <c r="A2051" t="str">
        <f t="shared" si="31"/>
        <v>3802002359012026M04</v>
      </c>
      <c r="B2051">
        <v>51321001</v>
      </c>
      <c r="C2051">
        <v>23</v>
      </c>
      <c r="D2051">
        <v>380200</v>
      </c>
      <c r="E2051">
        <v>235901</v>
      </c>
      <c r="F2051" t="s">
        <v>115</v>
      </c>
      <c r="G2051" t="s">
        <v>66</v>
      </c>
      <c r="H2051">
        <v>113679.94</v>
      </c>
      <c r="I2051">
        <v>113679.94</v>
      </c>
      <c r="J2051">
        <v>0</v>
      </c>
      <c r="K2051">
        <v>0</v>
      </c>
      <c r="L2051">
        <v>0</v>
      </c>
    </row>
    <row r="2052" spans="1:12" x14ac:dyDescent="0.25">
      <c r="A2052" t="str">
        <f t="shared" si="31"/>
        <v>3802002359012026M05</v>
      </c>
      <c r="B2052">
        <v>51321001</v>
      </c>
      <c r="C2052">
        <v>23</v>
      </c>
      <c r="D2052">
        <v>380200</v>
      </c>
      <c r="E2052">
        <v>235901</v>
      </c>
      <c r="F2052" t="s">
        <v>115</v>
      </c>
      <c r="G2052" t="s">
        <v>67</v>
      </c>
      <c r="H2052">
        <v>113679.94</v>
      </c>
      <c r="I2052">
        <v>113679.94</v>
      </c>
      <c r="J2052">
        <v>0</v>
      </c>
      <c r="K2052">
        <v>0</v>
      </c>
      <c r="L2052">
        <v>0</v>
      </c>
    </row>
    <row r="2053" spans="1:12" x14ac:dyDescent="0.25">
      <c r="A2053" t="str">
        <f t="shared" si="31"/>
        <v>3802002359012026M06</v>
      </c>
      <c r="B2053">
        <v>51321001</v>
      </c>
      <c r="C2053">
        <v>23</v>
      </c>
      <c r="D2053">
        <v>380200</v>
      </c>
      <c r="E2053">
        <v>235901</v>
      </c>
      <c r="F2053" t="s">
        <v>115</v>
      </c>
      <c r="G2053" t="s">
        <v>68</v>
      </c>
      <c r="H2053">
        <v>113679.94</v>
      </c>
      <c r="I2053">
        <v>113679.94</v>
      </c>
      <c r="J2053">
        <v>0</v>
      </c>
      <c r="K2053">
        <v>0</v>
      </c>
      <c r="L2053">
        <v>0</v>
      </c>
    </row>
    <row r="2054" spans="1:12" x14ac:dyDescent="0.25">
      <c r="A2054" t="str">
        <f t="shared" si="31"/>
        <v>3802002359012026M07</v>
      </c>
      <c r="B2054">
        <v>51321001</v>
      </c>
      <c r="C2054">
        <v>23</v>
      </c>
      <c r="D2054">
        <v>380200</v>
      </c>
      <c r="E2054">
        <v>235901</v>
      </c>
      <c r="F2054" t="s">
        <v>115</v>
      </c>
      <c r="G2054" t="s">
        <v>69</v>
      </c>
      <c r="H2054">
        <v>113679.94</v>
      </c>
      <c r="I2054">
        <v>113679.94</v>
      </c>
      <c r="J2054">
        <v>0</v>
      </c>
      <c r="K2054">
        <v>0</v>
      </c>
      <c r="L2054">
        <v>0</v>
      </c>
    </row>
    <row r="2055" spans="1:12" x14ac:dyDescent="0.25">
      <c r="A2055" t="str">
        <f t="shared" si="31"/>
        <v>3802002359012026M08</v>
      </c>
      <c r="B2055">
        <v>51321001</v>
      </c>
      <c r="C2055">
        <v>23</v>
      </c>
      <c r="D2055">
        <v>380200</v>
      </c>
      <c r="E2055">
        <v>235901</v>
      </c>
      <c r="F2055" t="s">
        <v>115</v>
      </c>
      <c r="G2055" t="s">
        <v>70</v>
      </c>
      <c r="H2055">
        <v>113679.94</v>
      </c>
      <c r="I2055">
        <v>113679.94</v>
      </c>
      <c r="J2055">
        <v>0</v>
      </c>
      <c r="K2055">
        <v>0</v>
      </c>
      <c r="L2055">
        <v>0</v>
      </c>
    </row>
    <row r="2056" spans="1:12" x14ac:dyDescent="0.25">
      <c r="A2056" t="str">
        <f t="shared" si="31"/>
        <v>3802002359012026M09</v>
      </c>
      <c r="B2056">
        <v>51321001</v>
      </c>
      <c r="C2056">
        <v>23</v>
      </c>
      <c r="D2056">
        <v>380200</v>
      </c>
      <c r="E2056">
        <v>235901</v>
      </c>
      <c r="F2056" t="s">
        <v>115</v>
      </c>
      <c r="G2056" t="s">
        <v>71</v>
      </c>
      <c r="H2056">
        <v>113679.94</v>
      </c>
      <c r="I2056">
        <v>113679.94</v>
      </c>
      <c r="J2056">
        <v>0</v>
      </c>
      <c r="K2056">
        <v>0</v>
      </c>
      <c r="L2056">
        <v>0</v>
      </c>
    </row>
    <row r="2057" spans="1:12" x14ac:dyDescent="0.25">
      <c r="A2057" t="str">
        <f t="shared" si="31"/>
        <v>3802002359012026M10</v>
      </c>
      <c r="B2057">
        <v>51321001</v>
      </c>
      <c r="C2057">
        <v>23</v>
      </c>
      <c r="D2057">
        <v>380200</v>
      </c>
      <c r="E2057">
        <v>235901</v>
      </c>
      <c r="F2057" t="s">
        <v>115</v>
      </c>
      <c r="G2057" t="s">
        <v>72</v>
      </c>
      <c r="H2057">
        <v>113680.48</v>
      </c>
      <c r="I2057">
        <v>113679.94</v>
      </c>
      <c r="J2057">
        <v>0.54</v>
      </c>
      <c r="K2057">
        <v>0</v>
      </c>
      <c r="L2057">
        <v>0</v>
      </c>
    </row>
    <row r="2058" spans="1:12" x14ac:dyDescent="0.25">
      <c r="A2058" t="str">
        <f t="shared" si="31"/>
        <v>3802002359012026M11</v>
      </c>
      <c r="B2058">
        <v>51321001</v>
      </c>
      <c r="C2058">
        <v>23</v>
      </c>
      <c r="D2058">
        <v>380200</v>
      </c>
      <c r="E2058">
        <v>235901</v>
      </c>
      <c r="F2058" t="s">
        <v>115</v>
      </c>
      <c r="G2058" t="s">
        <v>73</v>
      </c>
      <c r="H2058">
        <v>113680</v>
      </c>
      <c r="I2058">
        <v>0</v>
      </c>
      <c r="J2058">
        <v>113680</v>
      </c>
      <c r="K2058">
        <v>0</v>
      </c>
      <c r="L2058">
        <v>0</v>
      </c>
    </row>
    <row r="2059" spans="1:12" x14ac:dyDescent="0.25">
      <c r="A2059" t="str">
        <f t="shared" ref="A2059:A2122" si="32">D2059&amp;E2059&amp;G2059</f>
        <v>3802002359012026M12</v>
      </c>
      <c r="B2059">
        <v>51321001</v>
      </c>
      <c r="C2059">
        <v>23</v>
      </c>
      <c r="D2059">
        <v>380200</v>
      </c>
      <c r="E2059">
        <v>235901</v>
      </c>
      <c r="F2059" t="s">
        <v>115</v>
      </c>
      <c r="G2059" t="s">
        <v>74</v>
      </c>
      <c r="H2059">
        <v>227360</v>
      </c>
      <c r="I2059">
        <v>0</v>
      </c>
      <c r="J2059">
        <v>227360</v>
      </c>
      <c r="K2059">
        <v>0</v>
      </c>
      <c r="L2059">
        <v>0</v>
      </c>
    </row>
    <row r="2060" spans="1:12" x14ac:dyDescent="0.25">
      <c r="A2060" t="str">
        <f t="shared" si="32"/>
        <v>8002012358022026M02</v>
      </c>
      <c r="B2060">
        <v>51321001</v>
      </c>
      <c r="C2060">
        <v>23</v>
      </c>
      <c r="D2060">
        <v>800201</v>
      </c>
      <c r="E2060">
        <v>235802</v>
      </c>
      <c r="F2060" t="s">
        <v>115</v>
      </c>
      <c r="G2060" t="s">
        <v>64</v>
      </c>
      <c r="H2060">
        <v>0</v>
      </c>
      <c r="I2060">
        <v>0</v>
      </c>
      <c r="J2060">
        <v>0</v>
      </c>
      <c r="K2060">
        <v>0</v>
      </c>
      <c r="L2060">
        <v>0</v>
      </c>
    </row>
    <row r="2061" spans="1:12" x14ac:dyDescent="0.25">
      <c r="A2061" t="str">
        <f t="shared" si="32"/>
        <v>8002012358022026M03</v>
      </c>
      <c r="B2061">
        <v>51321001</v>
      </c>
      <c r="C2061">
        <v>23</v>
      </c>
      <c r="D2061">
        <v>800201</v>
      </c>
      <c r="E2061">
        <v>235802</v>
      </c>
      <c r="F2061" t="s">
        <v>115</v>
      </c>
      <c r="G2061" t="s">
        <v>65</v>
      </c>
      <c r="H2061">
        <v>70688.800000000003</v>
      </c>
      <c r="I2061">
        <v>70688.800000000003</v>
      </c>
      <c r="J2061">
        <v>0</v>
      </c>
      <c r="K2061">
        <v>0</v>
      </c>
      <c r="L2061">
        <v>0</v>
      </c>
    </row>
    <row r="2062" spans="1:12" x14ac:dyDescent="0.25">
      <c r="A2062" t="str">
        <f t="shared" si="32"/>
        <v>8002012358022026M04</v>
      </c>
      <c r="B2062">
        <v>51321001</v>
      </c>
      <c r="C2062">
        <v>23</v>
      </c>
      <c r="D2062">
        <v>800201</v>
      </c>
      <c r="E2062">
        <v>235802</v>
      </c>
      <c r="F2062" t="s">
        <v>115</v>
      </c>
      <c r="G2062" t="s">
        <v>66</v>
      </c>
      <c r="H2062">
        <v>35344.400000000001</v>
      </c>
      <c r="I2062">
        <v>35344.400000000001</v>
      </c>
      <c r="J2062">
        <v>0</v>
      </c>
      <c r="K2062">
        <v>0</v>
      </c>
      <c r="L2062">
        <v>0</v>
      </c>
    </row>
    <row r="2063" spans="1:12" x14ac:dyDescent="0.25">
      <c r="A2063" t="str">
        <f t="shared" si="32"/>
        <v>8002012358022026M05</v>
      </c>
      <c r="B2063">
        <v>51321001</v>
      </c>
      <c r="C2063">
        <v>23</v>
      </c>
      <c r="D2063">
        <v>800201</v>
      </c>
      <c r="E2063">
        <v>235802</v>
      </c>
      <c r="F2063" t="s">
        <v>115</v>
      </c>
      <c r="G2063" t="s">
        <v>67</v>
      </c>
      <c r="H2063">
        <v>35344.400000000001</v>
      </c>
      <c r="I2063">
        <v>35344.400000000001</v>
      </c>
      <c r="J2063">
        <v>0</v>
      </c>
      <c r="K2063">
        <v>0</v>
      </c>
      <c r="L2063">
        <v>0</v>
      </c>
    </row>
    <row r="2064" spans="1:12" x14ac:dyDescent="0.25">
      <c r="A2064" t="str">
        <f t="shared" si="32"/>
        <v>8002012358022026M06</v>
      </c>
      <c r="B2064">
        <v>51321001</v>
      </c>
      <c r="C2064">
        <v>23</v>
      </c>
      <c r="D2064">
        <v>800201</v>
      </c>
      <c r="E2064">
        <v>235802</v>
      </c>
      <c r="F2064" t="s">
        <v>115</v>
      </c>
      <c r="G2064" t="s">
        <v>68</v>
      </c>
      <c r="H2064">
        <v>35344.400000000001</v>
      </c>
      <c r="I2064">
        <v>35344.400000000001</v>
      </c>
      <c r="J2064">
        <v>0</v>
      </c>
      <c r="K2064">
        <v>0</v>
      </c>
      <c r="L2064">
        <v>0</v>
      </c>
    </row>
    <row r="2065" spans="1:12" x14ac:dyDescent="0.25">
      <c r="A2065" t="str">
        <f t="shared" si="32"/>
        <v>8002012358022026M07</v>
      </c>
      <c r="B2065">
        <v>51321001</v>
      </c>
      <c r="C2065">
        <v>23</v>
      </c>
      <c r="D2065">
        <v>800201</v>
      </c>
      <c r="E2065">
        <v>235802</v>
      </c>
      <c r="F2065" t="s">
        <v>115</v>
      </c>
      <c r="G2065" t="s">
        <v>69</v>
      </c>
      <c r="H2065">
        <v>35344.400000000001</v>
      </c>
      <c r="I2065">
        <v>35344.400000000001</v>
      </c>
      <c r="J2065">
        <v>0</v>
      </c>
      <c r="K2065">
        <v>0</v>
      </c>
      <c r="L2065">
        <v>0</v>
      </c>
    </row>
    <row r="2066" spans="1:12" x14ac:dyDescent="0.25">
      <c r="A2066" t="str">
        <f t="shared" si="32"/>
        <v>8002012358022026M08</v>
      </c>
      <c r="B2066">
        <v>51321001</v>
      </c>
      <c r="C2066">
        <v>23</v>
      </c>
      <c r="D2066">
        <v>800201</v>
      </c>
      <c r="E2066">
        <v>235802</v>
      </c>
      <c r="F2066" t="s">
        <v>115</v>
      </c>
      <c r="G2066" t="s">
        <v>70</v>
      </c>
      <c r="H2066">
        <v>35344.400000000001</v>
      </c>
      <c r="I2066">
        <v>35344.400000000001</v>
      </c>
      <c r="J2066">
        <v>0</v>
      </c>
      <c r="K2066">
        <v>0</v>
      </c>
      <c r="L2066">
        <v>0</v>
      </c>
    </row>
    <row r="2067" spans="1:12" x14ac:dyDescent="0.25">
      <c r="A2067" t="str">
        <f t="shared" si="32"/>
        <v>8002012358022026M09</v>
      </c>
      <c r="B2067">
        <v>51321001</v>
      </c>
      <c r="C2067">
        <v>23</v>
      </c>
      <c r="D2067">
        <v>800201</v>
      </c>
      <c r="E2067">
        <v>235802</v>
      </c>
      <c r="F2067" t="s">
        <v>115</v>
      </c>
      <c r="G2067" t="s">
        <v>71</v>
      </c>
      <c r="H2067">
        <v>35344.400000000001</v>
      </c>
      <c r="I2067">
        <v>35344.400000000001</v>
      </c>
      <c r="J2067">
        <v>0</v>
      </c>
      <c r="K2067">
        <v>0</v>
      </c>
      <c r="L2067">
        <v>0</v>
      </c>
    </row>
    <row r="2068" spans="1:12" x14ac:dyDescent="0.25">
      <c r="A2068" t="str">
        <f t="shared" si="32"/>
        <v>8002012358022026M10</v>
      </c>
      <c r="B2068">
        <v>51321001</v>
      </c>
      <c r="C2068">
        <v>23</v>
      </c>
      <c r="D2068">
        <v>800201</v>
      </c>
      <c r="E2068">
        <v>235802</v>
      </c>
      <c r="F2068" t="s">
        <v>115</v>
      </c>
      <c r="G2068" t="s">
        <v>72</v>
      </c>
      <c r="H2068">
        <v>35367.800000000003</v>
      </c>
      <c r="I2068">
        <v>35344.400000000001</v>
      </c>
      <c r="J2068">
        <v>20.97</v>
      </c>
      <c r="K2068">
        <v>0</v>
      </c>
      <c r="L2068">
        <v>2.4300000000000002</v>
      </c>
    </row>
    <row r="2069" spans="1:12" x14ac:dyDescent="0.25">
      <c r="A2069" t="str">
        <f t="shared" si="32"/>
        <v>8002012358022026M11</v>
      </c>
      <c r="B2069">
        <v>51321001</v>
      </c>
      <c r="C2069">
        <v>23</v>
      </c>
      <c r="D2069">
        <v>800201</v>
      </c>
      <c r="E2069">
        <v>235802</v>
      </c>
      <c r="F2069" t="s">
        <v>115</v>
      </c>
      <c r="G2069" t="s">
        <v>73</v>
      </c>
      <c r="H2069">
        <v>35347</v>
      </c>
      <c r="I2069">
        <v>0</v>
      </c>
      <c r="J2069">
        <v>35346.730000000003</v>
      </c>
      <c r="K2069">
        <v>0</v>
      </c>
      <c r="L2069">
        <v>0.27</v>
      </c>
    </row>
    <row r="2070" spans="1:12" x14ac:dyDescent="0.25">
      <c r="A2070" t="str">
        <f t="shared" si="32"/>
        <v>8002012358022026M12</v>
      </c>
      <c r="B2070">
        <v>51321001</v>
      </c>
      <c r="C2070">
        <v>23</v>
      </c>
      <c r="D2070">
        <v>800201</v>
      </c>
      <c r="E2070">
        <v>235802</v>
      </c>
      <c r="F2070" t="s">
        <v>115</v>
      </c>
      <c r="G2070" t="s">
        <v>74</v>
      </c>
      <c r="H2070">
        <v>70694</v>
      </c>
      <c r="I2070">
        <v>0</v>
      </c>
      <c r="J2070">
        <v>70693.460000000006</v>
      </c>
      <c r="K2070">
        <v>0</v>
      </c>
      <c r="L2070">
        <v>0.54</v>
      </c>
    </row>
    <row r="2071" spans="1:12" x14ac:dyDescent="0.25">
      <c r="A2071" t="str">
        <f t="shared" si="32"/>
        <v>9202012380022026M02</v>
      </c>
      <c r="B2071">
        <v>51321001</v>
      </c>
      <c r="C2071">
        <v>23</v>
      </c>
      <c r="D2071">
        <v>920201</v>
      </c>
      <c r="E2071">
        <v>238002</v>
      </c>
      <c r="F2071" t="s">
        <v>115</v>
      </c>
      <c r="G2071" t="s">
        <v>64</v>
      </c>
      <c r="H2071">
        <v>0</v>
      </c>
      <c r="I2071">
        <v>0</v>
      </c>
      <c r="J2071">
        <v>0</v>
      </c>
      <c r="K2071">
        <v>0</v>
      </c>
      <c r="L2071">
        <v>0</v>
      </c>
    </row>
    <row r="2072" spans="1:12" x14ac:dyDescent="0.25">
      <c r="A2072" t="str">
        <f t="shared" si="32"/>
        <v>9202012380022026M03</v>
      </c>
      <c r="B2072">
        <v>51321001</v>
      </c>
      <c r="C2072">
        <v>23</v>
      </c>
      <c r="D2072">
        <v>920201</v>
      </c>
      <c r="E2072">
        <v>238002</v>
      </c>
      <c r="F2072" t="s">
        <v>115</v>
      </c>
      <c r="G2072" t="s">
        <v>65</v>
      </c>
      <c r="H2072">
        <v>37351.980000000003</v>
      </c>
      <c r="I2072">
        <v>37351.980000000003</v>
      </c>
      <c r="J2072">
        <v>0</v>
      </c>
      <c r="K2072">
        <v>0</v>
      </c>
      <c r="L2072">
        <v>0</v>
      </c>
    </row>
    <row r="2073" spans="1:12" x14ac:dyDescent="0.25">
      <c r="A2073" t="str">
        <f t="shared" si="32"/>
        <v>9202012380022026M04</v>
      </c>
      <c r="B2073">
        <v>51321001</v>
      </c>
      <c r="C2073">
        <v>23</v>
      </c>
      <c r="D2073">
        <v>920201</v>
      </c>
      <c r="E2073">
        <v>238002</v>
      </c>
      <c r="F2073" t="s">
        <v>115</v>
      </c>
      <c r="G2073" t="s">
        <v>66</v>
      </c>
      <c r="H2073">
        <v>18675.990000000002</v>
      </c>
      <c r="I2073">
        <v>18675.990000000002</v>
      </c>
      <c r="J2073">
        <v>0</v>
      </c>
      <c r="K2073">
        <v>0</v>
      </c>
      <c r="L2073">
        <v>0</v>
      </c>
    </row>
    <row r="2074" spans="1:12" x14ac:dyDescent="0.25">
      <c r="A2074" t="str">
        <f t="shared" si="32"/>
        <v>9202012380022026M05</v>
      </c>
      <c r="B2074">
        <v>51321001</v>
      </c>
      <c r="C2074">
        <v>23</v>
      </c>
      <c r="D2074">
        <v>920201</v>
      </c>
      <c r="E2074">
        <v>238002</v>
      </c>
      <c r="F2074" t="s">
        <v>115</v>
      </c>
      <c r="G2074" t="s">
        <v>67</v>
      </c>
      <c r="H2074">
        <v>18675.990000000002</v>
      </c>
      <c r="I2074">
        <v>18675.990000000002</v>
      </c>
      <c r="J2074">
        <v>0</v>
      </c>
      <c r="K2074">
        <v>0</v>
      </c>
      <c r="L2074">
        <v>0</v>
      </c>
    </row>
    <row r="2075" spans="1:12" x14ac:dyDescent="0.25">
      <c r="A2075" t="str">
        <f t="shared" si="32"/>
        <v>9202012380022026M06</v>
      </c>
      <c r="B2075">
        <v>51321001</v>
      </c>
      <c r="C2075">
        <v>23</v>
      </c>
      <c r="D2075">
        <v>920201</v>
      </c>
      <c r="E2075">
        <v>238002</v>
      </c>
      <c r="F2075" t="s">
        <v>115</v>
      </c>
      <c r="G2075" t="s">
        <v>68</v>
      </c>
      <c r="H2075">
        <v>18675.990000000002</v>
      </c>
      <c r="I2075">
        <v>18675.990000000002</v>
      </c>
      <c r="J2075">
        <v>0</v>
      </c>
      <c r="K2075">
        <v>0</v>
      </c>
      <c r="L2075">
        <v>0</v>
      </c>
    </row>
    <row r="2076" spans="1:12" x14ac:dyDescent="0.25">
      <c r="A2076" t="str">
        <f t="shared" si="32"/>
        <v>9202012380022026M07</v>
      </c>
      <c r="B2076">
        <v>51321001</v>
      </c>
      <c r="C2076">
        <v>23</v>
      </c>
      <c r="D2076">
        <v>920201</v>
      </c>
      <c r="E2076">
        <v>238002</v>
      </c>
      <c r="F2076" t="s">
        <v>115</v>
      </c>
      <c r="G2076" t="s">
        <v>69</v>
      </c>
      <c r="H2076">
        <v>18675.990000000002</v>
      </c>
      <c r="I2076">
        <v>18675.990000000002</v>
      </c>
      <c r="J2076">
        <v>0</v>
      </c>
      <c r="K2076">
        <v>0</v>
      </c>
      <c r="L2076">
        <v>0</v>
      </c>
    </row>
    <row r="2077" spans="1:12" x14ac:dyDescent="0.25">
      <c r="A2077" t="str">
        <f t="shared" si="32"/>
        <v>9202012380022026M08</v>
      </c>
      <c r="B2077">
        <v>51321001</v>
      </c>
      <c r="C2077">
        <v>23</v>
      </c>
      <c r="D2077">
        <v>920201</v>
      </c>
      <c r="E2077">
        <v>238002</v>
      </c>
      <c r="F2077" t="s">
        <v>115</v>
      </c>
      <c r="G2077" t="s">
        <v>70</v>
      </c>
      <c r="H2077">
        <v>18675.990000000002</v>
      </c>
      <c r="I2077">
        <v>18675.990000000002</v>
      </c>
      <c r="J2077">
        <v>0</v>
      </c>
      <c r="K2077">
        <v>0</v>
      </c>
      <c r="L2077">
        <v>0</v>
      </c>
    </row>
    <row r="2078" spans="1:12" x14ac:dyDescent="0.25">
      <c r="A2078" t="str">
        <f t="shared" si="32"/>
        <v>9202012380022026M09</v>
      </c>
      <c r="B2078">
        <v>51321001</v>
      </c>
      <c r="C2078">
        <v>23</v>
      </c>
      <c r="D2078">
        <v>920201</v>
      </c>
      <c r="E2078">
        <v>238002</v>
      </c>
      <c r="F2078" t="s">
        <v>115</v>
      </c>
      <c r="G2078" t="s">
        <v>71</v>
      </c>
      <c r="H2078">
        <v>18675.990000000002</v>
      </c>
      <c r="I2078">
        <v>18675.990000000002</v>
      </c>
      <c r="J2078">
        <v>0</v>
      </c>
      <c r="K2078">
        <v>0</v>
      </c>
      <c r="L2078">
        <v>0</v>
      </c>
    </row>
    <row r="2079" spans="1:12" x14ac:dyDescent="0.25">
      <c r="A2079" t="str">
        <f t="shared" si="32"/>
        <v>9202012380022026M10</v>
      </c>
      <c r="B2079">
        <v>51321001</v>
      </c>
      <c r="C2079">
        <v>23</v>
      </c>
      <c r="D2079">
        <v>920201</v>
      </c>
      <c r="E2079">
        <v>238002</v>
      </c>
      <c r="F2079" t="s">
        <v>115</v>
      </c>
      <c r="G2079" t="s">
        <v>72</v>
      </c>
      <c r="H2079">
        <v>18676.080000000002</v>
      </c>
      <c r="I2079">
        <v>18675.990000000002</v>
      </c>
      <c r="J2079">
        <v>0.09</v>
      </c>
      <c r="K2079">
        <v>0</v>
      </c>
      <c r="L2079">
        <v>0</v>
      </c>
    </row>
    <row r="2080" spans="1:12" x14ac:dyDescent="0.25">
      <c r="A2080" t="str">
        <f t="shared" si="32"/>
        <v>9202012380022026M11</v>
      </c>
      <c r="B2080">
        <v>51321001</v>
      </c>
      <c r="C2080">
        <v>23</v>
      </c>
      <c r="D2080">
        <v>920201</v>
      </c>
      <c r="E2080">
        <v>238002</v>
      </c>
      <c r="F2080" t="s">
        <v>115</v>
      </c>
      <c r="G2080" t="s">
        <v>73</v>
      </c>
      <c r="H2080">
        <v>18676</v>
      </c>
      <c r="I2080">
        <v>0</v>
      </c>
      <c r="J2080">
        <v>18676</v>
      </c>
      <c r="K2080">
        <v>0</v>
      </c>
      <c r="L2080">
        <v>0</v>
      </c>
    </row>
    <row r="2081" spans="1:12" x14ac:dyDescent="0.25">
      <c r="A2081" t="str">
        <f t="shared" si="32"/>
        <v>9202012380022026M12</v>
      </c>
      <c r="B2081">
        <v>51321001</v>
      </c>
      <c r="C2081">
        <v>23</v>
      </c>
      <c r="D2081">
        <v>920201</v>
      </c>
      <c r="E2081">
        <v>238002</v>
      </c>
      <c r="F2081" t="s">
        <v>115</v>
      </c>
      <c r="G2081" t="s">
        <v>74</v>
      </c>
      <c r="H2081">
        <v>37352</v>
      </c>
      <c r="I2081">
        <v>0</v>
      </c>
      <c r="J2081">
        <v>37352</v>
      </c>
      <c r="K2081">
        <v>0</v>
      </c>
      <c r="L2081">
        <v>0</v>
      </c>
    </row>
    <row r="2082" spans="1:12" x14ac:dyDescent="0.25">
      <c r="A2082" t="str">
        <f t="shared" si="32"/>
        <v>9202012380032026M02</v>
      </c>
      <c r="B2082">
        <v>51321001</v>
      </c>
      <c r="C2082">
        <v>23</v>
      </c>
      <c r="D2082">
        <v>920201</v>
      </c>
      <c r="E2082">
        <v>238003</v>
      </c>
      <c r="F2082" t="s">
        <v>115</v>
      </c>
      <c r="G2082" t="s">
        <v>64</v>
      </c>
      <c r="H2082">
        <v>0</v>
      </c>
      <c r="I2082">
        <v>0</v>
      </c>
      <c r="J2082">
        <v>0</v>
      </c>
      <c r="K2082">
        <v>0</v>
      </c>
      <c r="L2082">
        <v>0</v>
      </c>
    </row>
    <row r="2083" spans="1:12" x14ac:dyDescent="0.25">
      <c r="A2083" t="str">
        <f t="shared" si="32"/>
        <v>9202012380032026M03</v>
      </c>
      <c r="B2083">
        <v>51321001</v>
      </c>
      <c r="C2083">
        <v>23</v>
      </c>
      <c r="D2083">
        <v>920201</v>
      </c>
      <c r="E2083">
        <v>238003</v>
      </c>
      <c r="F2083" t="s">
        <v>115</v>
      </c>
      <c r="G2083" t="s">
        <v>65</v>
      </c>
      <c r="H2083">
        <v>52048.92</v>
      </c>
      <c r="I2083">
        <v>52048.92</v>
      </c>
      <c r="J2083">
        <v>0</v>
      </c>
      <c r="K2083">
        <v>0</v>
      </c>
      <c r="L2083">
        <v>0</v>
      </c>
    </row>
    <row r="2084" spans="1:12" x14ac:dyDescent="0.25">
      <c r="A2084" t="str">
        <f t="shared" si="32"/>
        <v>9202012380032026M04</v>
      </c>
      <c r="B2084">
        <v>51321001</v>
      </c>
      <c r="C2084">
        <v>23</v>
      </c>
      <c r="D2084">
        <v>920201</v>
      </c>
      <c r="E2084">
        <v>238003</v>
      </c>
      <c r="F2084" t="s">
        <v>115</v>
      </c>
      <c r="G2084" t="s">
        <v>66</v>
      </c>
      <c r="H2084">
        <v>26024.46</v>
      </c>
      <c r="I2084">
        <v>26024.46</v>
      </c>
      <c r="J2084">
        <v>0</v>
      </c>
      <c r="K2084">
        <v>0</v>
      </c>
      <c r="L2084">
        <v>0</v>
      </c>
    </row>
    <row r="2085" spans="1:12" x14ac:dyDescent="0.25">
      <c r="A2085" t="str">
        <f t="shared" si="32"/>
        <v>9202012380032026M05</v>
      </c>
      <c r="B2085">
        <v>51321001</v>
      </c>
      <c r="C2085">
        <v>23</v>
      </c>
      <c r="D2085">
        <v>920201</v>
      </c>
      <c r="E2085">
        <v>238003</v>
      </c>
      <c r="F2085" t="s">
        <v>115</v>
      </c>
      <c r="G2085" t="s">
        <v>67</v>
      </c>
      <c r="H2085">
        <v>26024.46</v>
      </c>
      <c r="I2085">
        <v>26024.46</v>
      </c>
      <c r="J2085">
        <v>0</v>
      </c>
      <c r="K2085">
        <v>0</v>
      </c>
      <c r="L2085">
        <v>0</v>
      </c>
    </row>
    <row r="2086" spans="1:12" x14ac:dyDescent="0.25">
      <c r="A2086" t="str">
        <f t="shared" si="32"/>
        <v>9202012380032026M06</v>
      </c>
      <c r="B2086">
        <v>51321001</v>
      </c>
      <c r="C2086">
        <v>23</v>
      </c>
      <c r="D2086">
        <v>920201</v>
      </c>
      <c r="E2086">
        <v>238003</v>
      </c>
      <c r="F2086" t="s">
        <v>115</v>
      </c>
      <c r="G2086" t="s">
        <v>68</v>
      </c>
      <c r="H2086">
        <v>26024.46</v>
      </c>
      <c r="I2086">
        <v>26024.46</v>
      </c>
      <c r="J2086">
        <v>0</v>
      </c>
      <c r="K2086">
        <v>0</v>
      </c>
      <c r="L2086">
        <v>0</v>
      </c>
    </row>
    <row r="2087" spans="1:12" x14ac:dyDescent="0.25">
      <c r="A2087" t="str">
        <f t="shared" si="32"/>
        <v>9202012380032026M07</v>
      </c>
      <c r="B2087">
        <v>51321001</v>
      </c>
      <c r="C2087">
        <v>23</v>
      </c>
      <c r="D2087">
        <v>920201</v>
      </c>
      <c r="E2087">
        <v>238003</v>
      </c>
      <c r="F2087" t="s">
        <v>115</v>
      </c>
      <c r="G2087" t="s">
        <v>69</v>
      </c>
      <c r="H2087">
        <v>26024.46</v>
      </c>
      <c r="I2087">
        <v>26024.46</v>
      </c>
      <c r="J2087">
        <v>0</v>
      </c>
      <c r="K2087">
        <v>0</v>
      </c>
      <c r="L2087">
        <v>0</v>
      </c>
    </row>
    <row r="2088" spans="1:12" x14ac:dyDescent="0.25">
      <c r="A2088" t="str">
        <f t="shared" si="32"/>
        <v>9202012380032026M08</v>
      </c>
      <c r="B2088">
        <v>51321001</v>
      </c>
      <c r="C2088">
        <v>23</v>
      </c>
      <c r="D2088">
        <v>920201</v>
      </c>
      <c r="E2088">
        <v>238003</v>
      </c>
      <c r="F2088" t="s">
        <v>115</v>
      </c>
      <c r="G2088" t="s">
        <v>70</v>
      </c>
      <c r="H2088">
        <v>26024.46</v>
      </c>
      <c r="I2088">
        <v>26024.46</v>
      </c>
      <c r="J2088">
        <v>0</v>
      </c>
      <c r="K2088">
        <v>0</v>
      </c>
      <c r="L2088">
        <v>0</v>
      </c>
    </row>
    <row r="2089" spans="1:12" x14ac:dyDescent="0.25">
      <c r="A2089" t="str">
        <f t="shared" si="32"/>
        <v>9202012380032026M09</v>
      </c>
      <c r="B2089">
        <v>51321001</v>
      </c>
      <c r="C2089">
        <v>23</v>
      </c>
      <c r="D2089">
        <v>920201</v>
      </c>
      <c r="E2089">
        <v>238003</v>
      </c>
      <c r="F2089" t="s">
        <v>115</v>
      </c>
      <c r="G2089" t="s">
        <v>71</v>
      </c>
      <c r="H2089">
        <v>26024.46</v>
      </c>
      <c r="I2089">
        <v>26024.46</v>
      </c>
      <c r="J2089">
        <v>0</v>
      </c>
      <c r="K2089">
        <v>0</v>
      </c>
      <c r="L2089">
        <v>0</v>
      </c>
    </row>
    <row r="2090" spans="1:12" x14ac:dyDescent="0.25">
      <c r="A2090" t="str">
        <f t="shared" si="32"/>
        <v>9202012380032026M10</v>
      </c>
      <c r="B2090">
        <v>51321001</v>
      </c>
      <c r="C2090">
        <v>23</v>
      </c>
      <c r="D2090">
        <v>920201</v>
      </c>
      <c r="E2090">
        <v>238003</v>
      </c>
      <c r="F2090" t="s">
        <v>115</v>
      </c>
      <c r="G2090" t="s">
        <v>72</v>
      </c>
      <c r="H2090">
        <v>26038.32</v>
      </c>
      <c r="I2090">
        <v>26024.46</v>
      </c>
      <c r="J2090">
        <v>13.86</v>
      </c>
      <c r="K2090">
        <v>0</v>
      </c>
      <c r="L2090">
        <v>0</v>
      </c>
    </row>
    <row r="2091" spans="1:12" x14ac:dyDescent="0.25">
      <c r="A2091" t="str">
        <f t="shared" si="32"/>
        <v>9202012380032026M11</v>
      </c>
      <c r="B2091">
        <v>51321001</v>
      </c>
      <c r="C2091">
        <v>23</v>
      </c>
      <c r="D2091">
        <v>920201</v>
      </c>
      <c r="E2091">
        <v>238003</v>
      </c>
      <c r="F2091" t="s">
        <v>115</v>
      </c>
      <c r="G2091" t="s">
        <v>73</v>
      </c>
      <c r="H2091">
        <v>26026</v>
      </c>
      <c r="I2091">
        <v>0</v>
      </c>
      <c r="J2091">
        <v>26026</v>
      </c>
      <c r="K2091">
        <v>0</v>
      </c>
      <c r="L2091">
        <v>0</v>
      </c>
    </row>
    <row r="2092" spans="1:12" x14ac:dyDescent="0.25">
      <c r="A2092" t="str">
        <f t="shared" si="32"/>
        <v>9202012380032026M12</v>
      </c>
      <c r="B2092">
        <v>51321001</v>
      </c>
      <c r="C2092">
        <v>23</v>
      </c>
      <c r="D2092">
        <v>920201</v>
      </c>
      <c r="E2092">
        <v>238003</v>
      </c>
      <c r="F2092" t="s">
        <v>115</v>
      </c>
      <c r="G2092" t="s">
        <v>74</v>
      </c>
      <c r="H2092">
        <v>52052</v>
      </c>
      <c r="I2092">
        <v>0</v>
      </c>
      <c r="J2092">
        <v>52048</v>
      </c>
      <c r="K2092">
        <v>0</v>
      </c>
      <c r="L2092">
        <v>4</v>
      </c>
    </row>
    <row r="2093" spans="1:12" x14ac:dyDescent="0.25">
      <c r="A2093" t="str">
        <f t="shared" si="32"/>
        <v>1301002490012026M02</v>
      </c>
      <c r="B2093">
        <v>51321001</v>
      </c>
      <c r="C2093">
        <v>24</v>
      </c>
      <c r="D2093">
        <v>130100</v>
      </c>
      <c r="E2093">
        <v>249001</v>
      </c>
      <c r="F2093" t="s">
        <v>115</v>
      </c>
      <c r="G2093" t="s">
        <v>64</v>
      </c>
      <c r="H2093">
        <v>0</v>
      </c>
      <c r="I2093">
        <v>0</v>
      </c>
      <c r="J2093">
        <v>0</v>
      </c>
      <c r="K2093">
        <v>0</v>
      </c>
      <c r="L2093">
        <v>0</v>
      </c>
    </row>
    <row r="2094" spans="1:12" x14ac:dyDescent="0.25">
      <c r="A2094" t="str">
        <f t="shared" si="32"/>
        <v>1301002490012026M03</v>
      </c>
      <c r="B2094">
        <v>51321001</v>
      </c>
      <c r="C2094">
        <v>24</v>
      </c>
      <c r="D2094">
        <v>130100</v>
      </c>
      <c r="E2094">
        <v>249001</v>
      </c>
      <c r="F2094" t="s">
        <v>115</v>
      </c>
      <c r="G2094" t="s">
        <v>65</v>
      </c>
      <c r="H2094">
        <v>0</v>
      </c>
      <c r="I2094">
        <v>0</v>
      </c>
      <c r="J2094">
        <v>0</v>
      </c>
      <c r="K2094">
        <v>0</v>
      </c>
      <c r="L2094">
        <v>0</v>
      </c>
    </row>
    <row r="2095" spans="1:12" x14ac:dyDescent="0.25">
      <c r="A2095" t="str">
        <f t="shared" si="32"/>
        <v>1301002490012026M04</v>
      </c>
      <c r="B2095">
        <v>51321001</v>
      </c>
      <c r="C2095">
        <v>24</v>
      </c>
      <c r="D2095">
        <v>130100</v>
      </c>
      <c r="E2095">
        <v>249001</v>
      </c>
      <c r="F2095" t="s">
        <v>115</v>
      </c>
      <c r="G2095" t="s">
        <v>66</v>
      </c>
      <c r="H2095">
        <v>0</v>
      </c>
      <c r="I2095">
        <v>0</v>
      </c>
      <c r="J2095">
        <v>0</v>
      </c>
      <c r="K2095">
        <v>0</v>
      </c>
      <c r="L2095">
        <v>0</v>
      </c>
    </row>
    <row r="2096" spans="1:12" x14ac:dyDescent="0.25">
      <c r="A2096" t="str">
        <f t="shared" si="32"/>
        <v>1301002490012026M05</v>
      </c>
      <c r="B2096">
        <v>51321001</v>
      </c>
      <c r="C2096">
        <v>24</v>
      </c>
      <c r="D2096">
        <v>130100</v>
      </c>
      <c r="E2096">
        <v>249001</v>
      </c>
      <c r="F2096" t="s">
        <v>115</v>
      </c>
      <c r="G2096" t="s">
        <v>67</v>
      </c>
      <c r="H2096">
        <v>0</v>
      </c>
      <c r="I2096">
        <v>0</v>
      </c>
      <c r="J2096">
        <v>0</v>
      </c>
      <c r="K2096">
        <v>0</v>
      </c>
      <c r="L2096">
        <v>0</v>
      </c>
    </row>
    <row r="2097" spans="1:12" x14ac:dyDescent="0.25">
      <c r="A2097" t="str">
        <f t="shared" si="32"/>
        <v>1301002490012026M06</v>
      </c>
      <c r="B2097">
        <v>51321001</v>
      </c>
      <c r="C2097">
        <v>24</v>
      </c>
      <c r="D2097">
        <v>130100</v>
      </c>
      <c r="E2097">
        <v>249001</v>
      </c>
      <c r="F2097" t="s">
        <v>115</v>
      </c>
      <c r="G2097" t="s">
        <v>68</v>
      </c>
      <c r="H2097">
        <v>0</v>
      </c>
      <c r="I2097">
        <v>0</v>
      </c>
      <c r="J2097">
        <v>0</v>
      </c>
      <c r="K2097">
        <v>0</v>
      </c>
      <c r="L2097">
        <v>0</v>
      </c>
    </row>
    <row r="2098" spans="1:12" x14ac:dyDescent="0.25">
      <c r="A2098" t="str">
        <f t="shared" si="32"/>
        <v>1301002490012026M07</v>
      </c>
      <c r="B2098">
        <v>51321001</v>
      </c>
      <c r="C2098">
        <v>24</v>
      </c>
      <c r="D2098">
        <v>130100</v>
      </c>
      <c r="E2098">
        <v>249001</v>
      </c>
      <c r="F2098" t="s">
        <v>115</v>
      </c>
      <c r="G2098" t="s">
        <v>69</v>
      </c>
      <c r="H2098">
        <v>0</v>
      </c>
      <c r="I2098">
        <v>0</v>
      </c>
      <c r="J2098">
        <v>0</v>
      </c>
      <c r="K2098">
        <v>0</v>
      </c>
      <c r="L2098">
        <v>0</v>
      </c>
    </row>
    <row r="2099" spans="1:12" x14ac:dyDescent="0.25">
      <c r="A2099" t="str">
        <f t="shared" si="32"/>
        <v>1301002490012026M08</v>
      </c>
      <c r="B2099">
        <v>51321001</v>
      </c>
      <c r="C2099">
        <v>24</v>
      </c>
      <c r="D2099">
        <v>130100</v>
      </c>
      <c r="E2099">
        <v>249001</v>
      </c>
      <c r="F2099" t="s">
        <v>115</v>
      </c>
      <c r="G2099" t="s">
        <v>70</v>
      </c>
      <c r="H2099">
        <v>0</v>
      </c>
      <c r="I2099">
        <v>0</v>
      </c>
      <c r="J2099">
        <v>0</v>
      </c>
      <c r="K2099">
        <v>0</v>
      </c>
      <c r="L2099">
        <v>0</v>
      </c>
    </row>
    <row r="2100" spans="1:12" x14ac:dyDescent="0.25">
      <c r="A2100" t="str">
        <f t="shared" si="32"/>
        <v>1301002490012026M09</v>
      </c>
      <c r="B2100">
        <v>51321001</v>
      </c>
      <c r="C2100">
        <v>24</v>
      </c>
      <c r="D2100">
        <v>130100</v>
      </c>
      <c r="E2100">
        <v>249001</v>
      </c>
      <c r="F2100" t="s">
        <v>115</v>
      </c>
      <c r="G2100" t="s">
        <v>71</v>
      </c>
      <c r="H2100">
        <v>0</v>
      </c>
      <c r="I2100">
        <v>0</v>
      </c>
      <c r="J2100">
        <v>0</v>
      </c>
      <c r="K2100">
        <v>0</v>
      </c>
      <c r="L2100">
        <v>0</v>
      </c>
    </row>
    <row r="2101" spans="1:12" x14ac:dyDescent="0.25">
      <c r="A2101" t="str">
        <f t="shared" si="32"/>
        <v>1301002490012026M10</v>
      </c>
      <c r="B2101">
        <v>51321001</v>
      </c>
      <c r="C2101">
        <v>24</v>
      </c>
      <c r="D2101">
        <v>130100</v>
      </c>
      <c r="E2101">
        <v>249001</v>
      </c>
      <c r="F2101" t="s">
        <v>115</v>
      </c>
      <c r="G2101" t="s">
        <v>72</v>
      </c>
      <c r="H2101">
        <v>0</v>
      </c>
      <c r="I2101">
        <v>0</v>
      </c>
      <c r="J2101">
        <v>0</v>
      </c>
      <c r="K2101">
        <v>0</v>
      </c>
      <c r="L2101">
        <v>0</v>
      </c>
    </row>
    <row r="2102" spans="1:12" x14ac:dyDescent="0.25">
      <c r="A2102" t="str">
        <f t="shared" si="32"/>
        <v>1301002490012026M11</v>
      </c>
      <c r="B2102">
        <v>51321001</v>
      </c>
      <c r="C2102">
        <v>24</v>
      </c>
      <c r="D2102">
        <v>130100</v>
      </c>
      <c r="E2102">
        <v>249001</v>
      </c>
      <c r="F2102" t="s">
        <v>115</v>
      </c>
      <c r="G2102" t="s">
        <v>73</v>
      </c>
      <c r="H2102">
        <v>0</v>
      </c>
      <c r="I2102">
        <v>0</v>
      </c>
      <c r="J2102">
        <v>0</v>
      </c>
      <c r="K2102">
        <v>0</v>
      </c>
      <c r="L2102">
        <v>0</v>
      </c>
    </row>
    <row r="2103" spans="1:12" x14ac:dyDescent="0.25">
      <c r="A2103" t="str">
        <f t="shared" si="32"/>
        <v>1301002490012026M12</v>
      </c>
      <c r="B2103">
        <v>51321001</v>
      </c>
      <c r="C2103">
        <v>24</v>
      </c>
      <c r="D2103">
        <v>130100</v>
      </c>
      <c r="E2103">
        <v>249001</v>
      </c>
      <c r="F2103" t="s">
        <v>115</v>
      </c>
      <c r="G2103" t="s">
        <v>74</v>
      </c>
      <c r="H2103">
        <v>0</v>
      </c>
      <c r="I2103">
        <v>0</v>
      </c>
      <c r="J2103">
        <v>0</v>
      </c>
      <c r="K2103">
        <v>0</v>
      </c>
      <c r="L2103">
        <v>0</v>
      </c>
    </row>
    <row r="2104" spans="1:12" x14ac:dyDescent="0.25">
      <c r="A2104" t="str">
        <f t="shared" si="32"/>
        <v>1429022424222026M02</v>
      </c>
      <c r="B2104">
        <v>51321001</v>
      </c>
      <c r="C2104">
        <v>24</v>
      </c>
      <c r="D2104">
        <v>142902</v>
      </c>
      <c r="E2104">
        <v>242422</v>
      </c>
      <c r="F2104" t="s">
        <v>115</v>
      </c>
      <c r="G2104" t="s">
        <v>64</v>
      </c>
      <c r="H2104">
        <v>0</v>
      </c>
      <c r="I2104">
        <v>0</v>
      </c>
      <c r="J2104">
        <v>0</v>
      </c>
      <c r="K2104">
        <v>0</v>
      </c>
      <c r="L2104">
        <v>0</v>
      </c>
    </row>
    <row r="2105" spans="1:12" x14ac:dyDescent="0.25">
      <c r="A2105" t="str">
        <f t="shared" si="32"/>
        <v>1429022424222026M03</v>
      </c>
      <c r="B2105">
        <v>51321001</v>
      </c>
      <c r="C2105">
        <v>24</v>
      </c>
      <c r="D2105">
        <v>142902</v>
      </c>
      <c r="E2105">
        <v>242422</v>
      </c>
      <c r="F2105" t="s">
        <v>115</v>
      </c>
      <c r="G2105" t="s">
        <v>65</v>
      </c>
      <c r="H2105">
        <v>10000</v>
      </c>
      <c r="I2105">
        <v>10000</v>
      </c>
      <c r="J2105">
        <v>0</v>
      </c>
      <c r="K2105">
        <v>0</v>
      </c>
      <c r="L2105">
        <v>0</v>
      </c>
    </row>
    <row r="2106" spans="1:12" x14ac:dyDescent="0.25">
      <c r="A2106" t="str">
        <f t="shared" si="32"/>
        <v>1429022424222026M04</v>
      </c>
      <c r="B2106">
        <v>51321001</v>
      </c>
      <c r="C2106">
        <v>24</v>
      </c>
      <c r="D2106">
        <v>142902</v>
      </c>
      <c r="E2106">
        <v>242422</v>
      </c>
      <c r="F2106" t="s">
        <v>115</v>
      </c>
      <c r="G2106" t="s">
        <v>66</v>
      </c>
      <c r="H2106">
        <v>0</v>
      </c>
      <c r="I2106">
        <v>0</v>
      </c>
      <c r="J2106">
        <v>0</v>
      </c>
      <c r="K2106">
        <v>0</v>
      </c>
      <c r="L2106">
        <v>0</v>
      </c>
    </row>
    <row r="2107" spans="1:12" x14ac:dyDescent="0.25">
      <c r="A2107" t="str">
        <f t="shared" si="32"/>
        <v>1429022424222026M05</v>
      </c>
      <c r="B2107">
        <v>51321001</v>
      </c>
      <c r="C2107">
        <v>24</v>
      </c>
      <c r="D2107">
        <v>142902</v>
      </c>
      <c r="E2107">
        <v>242422</v>
      </c>
      <c r="F2107" t="s">
        <v>115</v>
      </c>
      <c r="G2107" t="s">
        <v>67</v>
      </c>
      <c r="H2107">
        <v>10000</v>
      </c>
      <c r="I2107">
        <v>10000</v>
      </c>
      <c r="J2107">
        <v>0</v>
      </c>
      <c r="K2107">
        <v>0</v>
      </c>
      <c r="L2107">
        <v>0</v>
      </c>
    </row>
    <row r="2108" spans="1:12" x14ac:dyDescent="0.25">
      <c r="A2108" t="str">
        <f t="shared" si="32"/>
        <v>1429022424222026M06</v>
      </c>
      <c r="B2108">
        <v>51321001</v>
      </c>
      <c r="C2108">
        <v>24</v>
      </c>
      <c r="D2108">
        <v>142902</v>
      </c>
      <c r="E2108">
        <v>242422</v>
      </c>
      <c r="F2108" t="s">
        <v>115</v>
      </c>
      <c r="G2108" t="s">
        <v>68</v>
      </c>
      <c r="H2108">
        <v>0</v>
      </c>
      <c r="I2108">
        <v>0</v>
      </c>
      <c r="J2108">
        <v>0</v>
      </c>
      <c r="K2108">
        <v>0</v>
      </c>
      <c r="L2108">
        <v>0</v>
      </c>
    </row>
    <row r="2109" spans="1:12" x14ac:dyDescent="0.25">
      <c r="A2109" t="str">
        <f t="shared" si="32"/>
        <v>1429022424222026M07</v>
      </c>
      <c r="B2109">
        <v>51321001</v>
      </c>
      <c r="C2109">
        <v>24</v>
      </c>
      <c r="D2109">
        <v>142902</v>
      </c>
      <c r="E2109">
        <v>242422</v>
      </c>
      <c r="F2109" t="s">
        <v>115</v>
      </c>
      <c r="G2109" t="s">
        <v>69</v>
      </c>
      <c r="H2109">
        <v>0</v>
      </c>
      <c r="I2109">
        <v>0</v>
      </c>
      <c r="J2109">
        <v>0</v>
      </c>
      <c r="K2109">
        <v>0</v>
      </c>
      <c r="L2109">
        <v>0</v>
      </c>
    </row>
    <row r="2110" spans="1:12" x14ac:dyDescent="0.25">
      <c r="A2110" t="str">
        <f t="shared" si="32"/>
        <v>1429022424222026M08</v>
      </c>
      <c r="B2110">
        <v>51321001</v>
      </c>
      <c r="C2110">
        <v>24</v>
      </c>
      <c r="D2110">
        <v>142902</v>
      </c>
      <c r="E2110">
        <v>242422</v>
      </c>
      <c r="F2110" t="s">
        <v>115</v>
      </c>
      <c r="G2110" t="s">
        <v>70</v>
      </c>
      <c r="H2110">
        <v>0</v>
      </c>
      <c r="I2110">
        <v>0</v>
      </c>
      <c r="J2110">
        <v>0</v>
      </c>
      <c r="K2110">
        <v>0</v>
      </c>
      <c r="L2110">
        <v>0</v>
      </c>
    </row>
    <row r="2111" spans="1:12" x14ac:dyDescent="0.25">
      <c r="A2111" t="str">
        <f t="shared" si="32"/>
        <v>1429022424222026M09</v>
      </c>
      <c r="B2111">
        <v>51321001</v>
      </c>
      <c r="C2111">
        <v>24</v>
      </c>
      <c r="D2111">
        <v>142902</v>
      </c>
      <c r="E2111">
        <v>242422</v>
      </c>
      <c r="F2111" t="s">
        <v>115</v>
      </c>
      <c r="G2111" t="s">
        <v>71</v>
      </c>
      <c r="H2111">
        <v>0</v>
      </c>
      <c r="I2111">
        <v>0</v>
      </c>
      <c r="J2111">
        <v>0</v>
      </c>
      <c r="K2111">
        <v>0</v>
      </c>
      <c r="L2111">
        <v>0</v>
      </c>
    </row>
    <row r="2112" spans="1:12" x14ac:dyDescent="0.25">
      <c r="A2112" t="str">
        <f t="shared" si="32"/>
        <v>1429022424222026M10</v>
      </c>
      <c r="B2112">
        <v>51321001</v>
      </c>
      <c r="C2112">
        <v>24</v>
      </c>
      <c r="D2112">
        <v>142902</v>
      </c>
      <c r="E2112">
        <v>242422</v>
      </c>
      <c r="F2112" t="s">
        <v>115</v>
      </c>
      <c r="G2112" t="s">
        <v>72</v>
      </c>
      <c r="H2112">
        <v>32200</v>
      </c>
      <c r="I2112">
        <v>0</v>
      </c>
      <c r="J2112">
        <v>32200</v>
      </c>
      <c r="K2112">
        <v>0</v>
      </c>
      <c r="L2112">
        <v>0</v>
      </c>
    </row>
    <row r="2113" spans="1:12" x14ac:dyDescent="0.25">
      <c r="A2113" t="str">
        <f t="shared" si="32"/>
        <v>1429022424222026M11</v>
      </c>
      <c r="B2113">
        <v>51321001</v>
      </c>
      <c r="C2113">
        <v>24</v>
      </c>
      <c r="D2113">
        <v>142902</v>
      </c>
      <c r="E2113">
        <v>242422</v>
      </c>
      <c r="F2113" t="s">
        <v>115</v>
      </c>
      <c r="G2113" t="s">
        <v>73</v>
      </c>
      <c r="H2113">
        <v>5800</v>
      </c>
      <c r="I2113">
        <v>0</v>
      </c>
      <c r="J2113">
        <v>5800</v>
      </c>
      <c r="K2113">
        <v>0</v>
      </c>
      <c r="L2113">
        <v>0</v>
      </c>
    </row>
    <row r="2114" spans="1:12" x14ac:dyDescent="0.25">
      <c r="A2114" t="str">
        <f t="shared" si="32"/>
        <v>1429022424222026M12</v>
      </c>
      <c r="B2114">
        <v>51321001</v>
      </c>
      <c r="C2114">
        <v>24</v>
      </c>
      <c r="D2114">
        <v>142902</v>
      </c>
      <c r="E2114">
        <v>242422</v>
      </c>
      <c r="F2114" t="s">
        <v>115</v>
      </c>
      <c r="G2114" t="s">
        <v>74</v>
      </c>
      <c r="H2114">
        <v>11600</v>
      </c>
      <c r="I2114">
        <v>0</v>
      </c>
      <c r="J2114">
        <v>11600</v>
      </c>
      <c r="K2114">
        <v>0</v>
      </c>
      <c r="L2114">
        <v>0</v>
      </c>
    </row>
    <row r="2115" spans="1:12" x14ac:dyDescent="0.25">
      <c r="A2115" t="str">
        <f t="shared" si="32"/>
        <v>1509002480042026M02</v>
      </c>
      <c r="B2115">
        <v>51321001</v>
      </c>
      <c r="C2115">
        <v>24</v>
      </c>
      <c r="D2115">
        <v>150900</v>
      </c>
      <c r="E2115">
        <v>248004</v>
      </c>
      <c r="F2115" t="s">
        <v>115</v>
      </c>
      <c r="G2115" t="s">
        <v>64</v>
      </c>
      <c r="H2115">
        <v>0</v>
      </c>
      <c r="I2115">
        <v>0</v>
      </c>
      <c r="J2115">
        <v>0</v>
      </c>
      <c r="K2115">
        <v>0</v>
      </c>
      <c r="L2115">
        <v>0</v>
      </c>
    </row>
    <row r="2116" spans="1:12" x14ac:dyDescent="0.25">
      <c r="A2116" t="str">
        <f t="shared" si="32"/>
        <v>1509002480042026M03</v>
      </c>
      <c r="B2116">
        <v>51321001</v>
      </c>
      <c r="C2116">
        <v>24</v>
      </c>
      <c r="D2116">
        <v>150900</v>
      </c>
      <c r="E2116">
        <v>248004</v>
      </c>
      <c r="F2116" t="s">
        <v>115</v>
      </c>
      <c r="G2116" t="s">
        <v>65</v>
      </c>
      <c r="H2116">
        <v>0</v>
      </c>
      <c r="I2116">
        <v>0</v>
      </c>
      <c r="J2116">
        <v>0</v>
      </c>
      <c r="K2116">
        <v>0</v>
      </c>
      <c r="L2116">
        <v>0</v>
      </c>
    </row>
    <row r="2117" spans="1:12" x14ac:dyDescent="0.25">
      <c r="A2117" t="str">
        <f t="shared" si="32"/>
        <v>1509002480042026M04</v>
      </c>
      <c r="B2117">
        <v>51321001</v>
      </c>
      <c r="C2117">
        <v>24</v>
      </c>
      <c r="D2117">
        <v>150900</v>
      </c>
      <c r="E2117">
        <v>248004</v>
      </c>
      <c r="F2117" t="s">
        <v>115</v>
      </c>
      <c r="G2117" t="s">
        <v>66</v>
      </c>
      <c r="H2117">
        <v>0</v>
      </c>
      <c r="I2117">
        <v>0</v>
      </c>
      <c r="J2117">
        <v>0</v>
      </c>
      <c r="K2117">
        <v>0</v>
      </c>
      <c r="L2117">
        <v>0</v>
      </c>
    </row>
    <row r="2118" spans="1:12" x14ac:dyDescent="0.25">
      <c r="A2118" t="str">
        <f t="shared" si="32"/>
        <v>1509002480042026M05</v>
      </c>
      <c r="B2118">
        <v>51321001</v>
      </c>
      <c r="C2118">
        <v>24</v>
      </c>
      <c r="D2118">
        <v>150900</v>
      </c>
      <c r="E2118">
        <v>248004</v>
      </c>
      <c r="F2118" t="s">
        <v>115</v>
      </c>
      <c r="G2118" t="s">
        <v>67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x14ac:dyDescent="0.25">
      <c r="A2119" t="str">
        <f t="shared" si="32"/>
        <v>1509002480042026M06</v>
      </c>
      <c r="B2119">
        <v>51321001</v>
      </c>
      <c r="C2119">
        <v>24</v>
      </c>
      <c r="D2119">
        <v>150900</v>
      </c>
      <c r="E2119">
        <v>248004</v>
      </c>
      <c r="F2119" t="s">
        <v>115</v>
      </c>
      <c r="G2119" t="s">
        <v>68</v>
      </c>
      <c r="H2119">
        <v>1792017.3</v>
      </c>
      <c r="I2119">
        <v>1792017.3</v>
      </c>
      <c r="J2119">
        <v>0</v>
      </c>
      <c r="K2119">
        <v>0</v>
      </c>
      <c r="L2119">
        <v>0</v>
      </c>
    </row>
    <row r="2120" spans="1:12" x14ac:dyDescent="0.25">
      <c r="A2120" t="str">
        <f t="shared" si="32"/>
        <v>1509002480042026M07</v>
      </c>
      <c r="B2120">
        <v>51321001</v>
      </c>
      <c r="C2120">
        <v>24</v>
      </c>
      <c r="D2120">
        <v>150900</v>
      </c>
      <c r="E2120">
        <v>248004</v>
      </c>
      <c r="F2120" t="s">
        <v>115</v>
      </c>
      <c r="G2120" t="s">
        <v>69</v>
      </c>
      <c r="H2120">
        <v>358403.46</v>
      </c>
      <c r="I2120">
        <v>358403.46</v>
      </c>
      <c r="J2120">
        <v>0</v>
      </c>
      <c r="K2120">
        <v>0</v>
      </c>
      <c r="L2120">
        <v>0</v>
      </c>
    </row>
    <row r="2121" spans="1:12" x14ac:dyDescent="0.25">
      <c r="A2121" t="str">
        <f t="shared" si="32"/>
        <v>1509002480042026M08</v>
      </c>
      <c r="B2121">
        <v>51321001</v>
      </c>
      <c r="C2121">
        <v>24</v>
      </c>
      <c r="D2121">
        <v>150900</v>
      </c>
      <c r="E2121">
        <v>248004</v>
      </c>
      <c r="F2121" t="s">
        <v>115</v>
      </c>
      <c r="G2121" t="s">
        <v>70</v>
      </c>
      <c r="H2121">
        <v>358403.46</v>
      </c>
      <c r="I2121">
        <v>358403.46</v>
      </c>
      <c r="J2121">
        <v>0</v>
      </c>
      <c r="K2121">
        <v>0</v>
      </c>
      <c r="L2121">
        <v>0</v>
      </c>
    </row>
    <row r="2122" spans="1:12" x14ac:dyDescent="0.25">
      <c r="A2122" t="str">
        <f t="shared" si="32"/>
        <v>1509002480042026M09</v>
      </c>
      <c r="B2122">
        <v>51321001</v>
      </c>
      <c r="C2122">
        <v>24</v>
      </c>
      <c r="D2122">
        <v>150900</v>
      </c>
      <c r="E2122">
        <v>248004</v>
      </c>
      <c r="F2122" t="s">
        <v>115</v>
      </c>
      <c r="G2122" t="s">
        <v>71</v>
      </c>
      <c r="H2122">
        <v>358403.46</v>
      </c>
      <c r="I2122">
        <v>358403.46</v>
      </c>
      <c r="J2122">
        <v>0</v>
      </c>
      <c r="K2122">
        <v>0</v>
      </c>
      <c r="L2122">
        <v>0</v>
      </c>
    </row>
    <row r="2123" spans="1:12" x14ac:dyDescent="0.25">
      <c r="A2123" t="str">
        <f t="shared" ref="A2123:A2186" si="33">D2123&amp;E2123&amp;G2123</f>
        <v>1509002480042026M10</v>
      </c>
      <c r="B2123">
        <v>51321001</v>
      </c>
      <c r="C2123">
        <v>24</v>
      </c>
      <c r="D2123">
        <v>150900</v>
      </c>
      <c r="E2123">
        <v>248004</v>
      </c>
      <c r="F2123" t="s">
        <v>115</v>
      </c>
      <c r="G2123" t="s">
        <v>72</v>
      </c>
      <c r="H2123">
        <v>358408.32</v>
      </c>
      <c r="I2123">
        <v>0</v>
      </c>
      <c r="J2123">
        <v>358408.32</v>
      </c>
      <c r="K2123">
        <v>0</v>
      </c>
      <c r="L2123">
        <v>0</v>
      </c>
    </row>
    <row r="2124" spans="1:12" x14ac:dyDescent="0.25">
      <c r="A2124" t="str">
        <f t="shared" si="33"/>
        <v>1509002480042026M11</v>
      </c>
      <c r="B2124">
        <v>51321001</v>
      </c>
      <c r="C2124">
        <v>24</v>
      </c>
      <c r="D2124">
        <v>150900</v>
      </c>
      <c r="E2124">
        <v>248004</v>
      </c>
      <c r="F2124" t="s">
        <v>115</v>
      </c>
      <c r="G2124" t="s">
        <v>73</v>
      </c>
      <c r="H2124">
        <v>358404</v>
      </c>
      <c r="I2124">
        <v>0</v>
      </c>
      <c r="J2124">
        <v>358404</v>
      </c>
      <c r="K2124">
        <v>0</v>
      </c>
      <c r="L2124">
        <v>0</v>
      </c>
    </row>
    <row r="2125" spans="1:12" x14ac:dyDescent="0.25">
      <c r="A2125" t="str">
        <f t="shared" si="33"/>
        <v>1509002480042026M12</v>
      </c>
      <c r="B2125">
        <v>51321001</v>
      </c>
      <c r="C2125">
        <v>24</v>
      </c>
      <c r="D2125">
        <v>150900</v>
      </c>
      <c r="E2125">
        <v>248004</v>
      </c>
      <c r="F2125" t="s">
        <v>115</v>
      </c>
      <c r="G2125" t="s">
        <v>74</v>
      </c>
      <c r="H2125">
        <v>716801.52</v>
      </c>
      <c r="I2125">
        <v>0</v>
      </c>
      <c r="J2125">
        <v>716801.52</v>
      </c>
      <c r="K2125">
        <v>0</v>
      </c>
      <c r="L2125">
        <v>0</v>
      </c>
    </row>
    <row r="2126" spans="1:12" x14ac:dyDescent="0.25">
      <c r="A2126" t="str">
        <f t="shared" si="33"/>
        <v>3802002459012026M02</v>
      </c>
      <c r="B2126">
        <v>51321001</v>
      </c>
      <c r="C2126">
        <v>24</v>
      </c>
      <c r="D2126">
        <v>380200</v>
      </c>
      <c r="E2126">
        <v>245901</v>
      </c>
      <c r="F2126" t="s">
        <v>115</v>
      </c>
      <c r="G2126" t="s">
        <v>64</v>
      </c>
      <c r="H2126">
        <v>0</v>
      </c>
      <c r="I2126">
        <v>0</v>
      </c>
      <c r="J2126">
        <v>0</v>
      </c>
      <c r="K2126">
        <v>0</v>
      </c>
      <c r="L2126">
        <v>0</v>
      </c>
    </row>
    <row r="2127" spans="1:12" x14ac:dyDescent="0.25">
      <c r="A2127" t="str">
        <f t="shared" si="33"/>
        <v>3802002459012026M03</v>
      </c>
      <c r="B2127">
        <v>51321001</v>
      </c>
      <c r="C2127">
        <v>24</v>
      </c>
      <c r="D2127">
        <v>380200</v>
      </c>
      <c r="E2127">
        <v>245901</v>
      </c>
      <c r="F2127" t="s">
        <v>115</v>
      </c>
      <c r="G2127" t="s">
        <v>65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x14ac:dyDescent="0.25">
      <c r="A2128" t="str">
        <f t="shared" si="33"/>
        <v>3802002459012026M04</v>
      </c>
      <c r="B2128">
        <v>51321001</v>
      </c>
      <c r="C2128">
        <v>24</v>
      </c>
      <c r="D2128">
        <v>380200</v>
      </c>
      <c r="E2128">
        <v>245901</v>
      </c>
      <c r="F2128" t="s">
        <v>115</v>
      </c>
      <c r="G2128" t="s">
        <v>66</v>
      </c>
      <c r="H2128">
        <v>0</v>
      </c>
      <c r="I2128">
        <v>0</v>
      </c>
      <c r="J2128">
        <v>0</v>
      </c>
      <c r="K2128">
        <v>0</v>
      </c>
      <c r="L2128">
        <v>0</v>
      </c>
    </row>
    <row r="2129" spans="1:12" x14ac:dyDescent="0.25">
      <c r="A2129" t="str">
        <f t="shared" si="33"/>
        <v>3802002459012026M05</v>
      </c>
      <c r="B2129">
        <v>51321001</v>
      </c>
      <c r="C2129">
        <v>24</v>
      </c>
      <c r="D2129">
        <v>380200</v>
      </c>
      <c r="E2129">
        <v>245901</v>
      </c>
      <c r="F2129" t="s">
        <v>115</v>
      </c>
      <c r="G2129" t="s">
        <v>67</v>
      </c>
      <c r="H2129">
        <v>130395.44</v>
      </c>
      <c r="I2129">
        <v>130395.44</v>
      </c>
      <c r="J2129">
        <v>0</v>
      </c>
      <c r="K2129">
        <v>0</v>
      </c>
      <c r="L2129">
        <v>0</v>
      </c>
    </row>
    <row r="2130" spans="1:12" x14ac:dyDescent="0.25">
      <c r="A2130" t="str">
        <f t="shared" si="33"/>
        <v>3802002459012026M06</v>
      </c>
      <c r="B2130">
        <v>51321001</v>
      </c>
      <c r="C2130">
        <v>24</v>
      </c>
      <c r="D2130">
        <v>380200</v>
      </c>
      <c r="E2130">
        <v>245901</v>
      </c>
      <c r="F2130" t="s">
        <v>115</v>
      </c>
      <c r="G2130" t="s">
        <v>68</v>
      </c>
      <c r="H2130">
        <v>32598.86</v>
      </c>
      <c r="I2130">
        <v>32598.86</v>
      </c>
      <c r="J2130">
        <v>0</v>
      </c>
      <c r="K2130">
        <v>0</v>
      </c>
      <c r="L2130">
        <v>0</v>
      </c>
    </row>
    <row r="2131" spans="1:12" x14ac:dyDescent="0.25">
      <c r="A2131" t="str">
        <f t="shared" si="33"/>
        <v>3802002459012026M07</v>
      </c>
      <c r="B2131">
        <v>51321001</v>
      </c>
      <c r="C2131">
        <v>24</v>
      </c>
      <c r="D2131">
        <v>380200</v>
      </c>
      <c r="E2131">
        <v>245901</v>
      </c>
      <c r="F2131" t="s">
        <v>115</v>
      </c>
      <c r="G2131" t="s">
        <v>69</v>
      </c>
      <c r="H2131">
        <v>32598.86</v>
      </c>
      <c r="I2131">
        <v>32598.86</v>
      </c>
      <c r="J2131">
        <v>0</v>
      </c>
      <c r="K2131">
        <v>0</v>
      </c>
      <c r="L2131">
        <v>0</v>
      </c>
    </row>
    <row r="2132" spans="1:12" x14ac:dyDescent="0.25">
      <c r="A2132" t="str">
        <f t="shared" si="33"/>
        <v>3802002459012026M08</v>
      </c>
      <c r="B2132">
        <v>51321001</v>
      </c>
      <c r="C2132">
        <v>24</v>
      </c>
      <c r="D2132">
        <v>380200</v>
      </c>
      <c r="E2132">
        <v>245901</v>
      </c>
      <c r="F2132" t="s">
        <v>115</v>
      </c>
      <c r="G2132" t="s">
        <v>70</v>
      </c>
      <c r="H2132">
        <v>32598.86</v>
      </c>
      <c r="I2132">
        <v>32598.86</v>
      </c>
      <c r="J2132">
        <v>0</v>
      </c>
      <c r="K2132">
        <v>0</v>
      </c>
      <c r="L2132">
        <v>0</v>
      </c>
    </row>
    <row r="2133" spans="1:12" x14ac:dyDescent="0.25">
      <c r="A2133" t="str">
        <f t="shared" si="33"/>
        <v>3802002459012026M09</v>
      </c>
      <c r="B2133">
        <v>51321001</v>
      </c>
      <c r="C2133">
        <v>24</v>
      </c>
      <c r="D2133">
        <v>380200</v>
      </c>
      <c r="E2133">
        <v>245901</v>
      </c>
      <c r="F2133" t="s">
        <v>115</v>
      </c>
      <c r="G2133" t="s">
        <v>71</v>
      </c>
      <c r="H2133">
        <v>32600</v>
      </c>
      <c r="I2133">
        <v>32600</v>
      </c>
      <c r="J2133">
        <v>0</v>
      </c>
      <c r="K2133">
        <v>0</v>
      </c>
      <c r="L2133">
        <v>0</v>
      </c>
    </row>
    <row r="2134" spans="1:12" x14ac:dyDescent="0.25">
      <c r="A2134" t="str">
        <f t="shared" si="33"/>
        <v>3802002459012026M10</v>
      </c>
      <c r="B2134">
        <v>51321001</v>
      </c>
      <c r="C2134">
        <v>24</v>
      </c>
      <c r="D2134">
        <v>380200</v>
      </c>
      <c r="E2134">
        <v>245901</v>
      </c>
      <c r="F2134" t="s">
        <v>115</v>
      </c>
      <c r="G2134" t="s">
        <v>72</v>
      </c>
      <c r="H2134">
        <v>79551.98</v>
      </c>
      <c r="I2134">
        <v>0</v>
      </c>
      <c r="J2134">
        <v>79551.98</v>
      </c>
      <c r="K2134">
        <v>0</v>
      </c>
      <c r="L2134">
        <v>0</v>
      </c>
    </row>
    <row r="2135" spans="1:12" x14ac:dyDescent="0.25">
      <c r="A2135" t="str">
        <f t="shared" si="33"/>
        <v>3802002459012026M11</v>
      </c>
      <c r="B2135">
        <v>51321001</v>
      </c>
      <c r="C2135">
        <v>24</v>
      </c>
      <c r="D2135">
        <v>380200</v>
      </c>
      <c r="E2135">
        <v>245901</v>
      </c>
      <c r="F2135" t="s">
        <v>115</v>
      </c>
      <c r="G2135" t="s">
        <v>73</v>
      </c>
      <c r="H2135">
        <v>37816</v>
      </c>
      <c r="I2135">
        <v>0</v>
      </c>
      <c r="J2135">
        <v>37816</v>
      </c>
      <c r="K2135">
        <v>0</v>
      </c>
      <c r="L2135">
        <v>0</v>
      </c>
    </row>
    <row r="2136" spans="1:12" x14ac:dyDescent="0.25">
      <c r="A2136" t="str">
        <f t="shared" si="33"/>
        <v>3802002459012026M12</v>
      </c>
      <c r="B2136">
        <v>51321001</v>
      </c>
      <c r="C2136">
        <v>24</v>
      </c>
      <c r="D2136">
        <v>380200</v>
      </c>
      <c r="E2136">
        <v>245901</v>
      </c>
      <c r="F2136" t="s">
        <v>115</v>
      </c>
      <c r="G2136" t="s">
        <v>74</v>
      </c>
      <c r="H2136">
        <v>75632</v>
      </c>
      <c r="I2136">
        <v>0</v>
      </c>
      <c r="J2136">
        <v>75632</v>
      </c>
      <c r="K2136">
        <v>0</v>
      </c>
      <c r="L2136">
        <v>0</v>
      </c>
    </row>
    <row r="2137" spans="1:12" x14ac:dyDescent="0.25">
      <c r="A2137" t="str">
        <f t="shared" si="33"/>
        <v>9001102491012026M02</v>
      </c>
      <c r="B2137">
        <v>51321001</v>
      </c>
      <c r="C2137">
        <v>24</v>
      </c>
      <c r="D2137">
        <v>900110</v>
      </c>
      <c r="E2137">
        <v>249101</v>
      </c>
      <c r="F2137" t="s">
        <v>115</v>
      </c>
      <c r="G2137" t="s">
        <v>64</v>
      </c>
      <c r="H2137">
        <v>0</v>
      </c>
      <c r="I2137">
        <v>0</v>
      </c>
      <c r="J2137">
        <v>0</v>
      </c>
      <c r="K2137">
        <v>0</v>
      </c>
      <c r="L2137">
        <v>0</v>
      </c>
    </row>
    <row r="2138" spans="1:12" x14ac:dyDescent="0.25">
      <c r="A2138" t="str">
        <f t="shared" si="33"/>
        <v>9001102491012026M03</v>
      </c>
      <c r="B2138">
        <v>51321001</v>
      </c>
      <c r="C2138">
        <v>24</v>
      </c>
      <c r="D2138">
        <v>900110</v>
      </c>
      <c r="E2138">
        <v>249101</v>
      </c>
      <c r="F2138" t="s">
        <v>115</v>
      </c>
      <c r="G2138" t="s">
        <v>65</v>
      </c>
      <c r="H2138">
        <v>63783.8</v>
      </c>
      <c r="I2138">
        <v>63783.8</v>
      </c>
      <c r="J2138">
        <v>0</v>
      </c>
      <c r="K2138">
        <v>0</v>
      </c>
      <c r="L2138">
        <v>0</v>
      </c>
    </row>
    <row r="2139" spans="1:12" x14ac:dyDescent="0.25">
      <c r="A2139" t="str">
        <f t="shared" si="33"/>
        <v>9001102491012026M04</v>
      </c>
      <c r="B2139">
        <v>51321001</v>
      </c>
      <c r="C2139">
        <v>24</v>
      </c>
      <c r="D2139">
        <v>900110</v>
      </c>
      <c r="E2139">
        <v>249101</v>
      </c>
      <c r="F2139" t="s">
        <v>115</v>
      </c>
      <c r="G2139" t="s">
        <v>66</v>
      </c>
      <c r="H2139">
        <v>31891.9</v>
      </c>
      <c r="I2139">
        <v>31891.9</v>
      </c>
      <c r="J2139">
        <v>0</v>
      </c>
      <c r="K2139">
        <v>0</v>
      </c>
      <c r="L2139">
        <v>0</v>
      </c>
    </row>
    <row r="2140" spans="1:12" x14ac:dyDescent="0.25">
      <c r="A2140" t="str">
        <f t="shared" si="33"/>
        <v>9001102491012026M05</v>
      </c>
      <c r="B2140">
        <v>51321001</v>
      </c>
      <c r="C2140">
        <v>24</v>
      </c>
      <c r="D2140">
        <v>900110</v>
      </c>
      <c r="E2140">
        <v>249101</v>
      </c>
      <c r="F2140" t="s">
        <v>115</v>
      </c>
      <c r="G2140" t="s">
        <v>67</v>
      </c>
      <c r="H2140">
        <v>31891.9</v>
      </c>
      <c r="I2140">
        <v>31891.9</v>
      </c>
      <c r="J2140">
        <v>0</v>
      </c>
      <c r="K2140">
        <v>0</v>
      </c>
      <c r="L2140">
        <v>0</v>
      </c>
    </row>
    <row r="2141" spans="1:12" x14ac:dyDescent="0.25">
      <c r="A2141" t="str">
        <f t="shared" si="33"/>
        <v>9001102491012026M06</v>
      </c>
      <c r="B2141">
        <v>51321001</v>
      </c>
      <c r="C2141">
        <v>24</v>
      </c>
      <c r="D2141">
        <v>900110</v>
      </c>
      <c r="E2141">
        <v>249101</v>
      </c>
      <c r="F2141" t="s">
        <v>115</v>
      </c>
      <c r="G2141" t="s">
        <v>68</v>
      </c>
      <c r="H2141">
        <v>0</v>
      </c>
      <c r="I2141">
        <v>0</v>
      </c>
      <c r="J2141">
        <v>0</v>
      </c>
      <c r="K2141">
        <v>0</v>
      </c>
      <c r="L2141">
        <v>0</v>
      </c>
    </row>
    <row r="2142" spans="1:12" x14ac:dyDescent="0.25">
      <c r="A2142" t="str">
        <f t="shared" si="33"/>
        <v>9001102491012026M07</v>
      </c>
      <c r="B2142">
        <v>51321001</v>
      </c>
      <c r="C2142">
        <v>24</v>
      </c>
      <c r="D2142">
        <v>900110</v>
      </c>
      <c r="E2142">
        <v>249101</v>
      </c>
      <c r="F2142" t="s">
        <v>115</v>
      </c>
      <c r="G2142" t="s">
        <v>69</v>
      </c>
      <c r="H2142">
        <v>0</v>
      </c>
      <c r="I2142">
        <v>0</v>
      </c>
      <c r="J2142">
        <v>0</v>
      </c>
      <c r="K2142">
        <v>0</v>
      </c>
      <c r="L2142">
        <v>0</v>
      </c>
    </row>
    <row r="2143" spans="1:12" x14ac:dyDescent="0.25">
      <c r="A2143" t="str">
        <f t="shared" si="33"/>
        <v>9001102491012026M08</v>
      </c>
      <c r="B2143">
        <v>51321001</v>
      </c>
      <c r="C2143">
        <v>24</v>
      </c>
      <c r="D2143">
        <v>900110</v>
      </c>
      <c r="E2143">
        <v>249101</v>
      </c>
      <c r="F2143" t="s">
        <v>115</v>
      </c>
      <c r="G2143" t="s">
        <v>70</v>
      </c>
      <c r="H2143">
        <v>95675.69</v>
      </c>
      <c r="I2143">
        <v>95675.69</v>
      </c>
      <c r="J2143">
        <v>0</v>
      </c>
      <c r="K2143">
        <v>0</v>
      </c>
      <c r="L2143">
        <v>0</v>
      </c>
    </row>
    <row r="2144" spans="1:12" x14ac:dyDescent="0.25">
      <c r="A2144" t="str">
        <f t="shared" si="33"/>
        <v>9001102491012026M09</v>
      </c>
      <c r="B2144">
        <v>51321001</v>
      </c>
      <c r="C2144">
        <v>24</v>
      </c>
      <c r="D2144">
        <v>900110</v>
      </c>
      <c r="E2144">
        <v>249101</v>
      </c>
      <c r="F2144" t="s">
        <v>115</v>
      </c>
      <c r="G2144" t="s">
        <v>71</v>
      </c>
      <c r="H2144">
        <v>0</v>
      </c>
      <c r="I2144">
        <v>0</v>
      </c>
      <c r="J2144">
        <v>0</v>
      </c>
      <c r="K2144">
        <v>0</v>
      </c>
      <c r="L2144">
        <v>0</v>
      </c>
    </row>
    <row r="2145" spans="1:12" x14ac:dyDescent="0.25">
      <c r="A2145" t="str">
        <f t="shared" si="33"/>
        <v>9001102491012026M10</v>
      </c>
      <c r="B2145">
        <v>51321001</v>
      </c>
      <c r="C2145">
        <v>24</v>
      </c>
      <c r="D2145">
        <v>900110</v>
      </c>
      <c r="E2145">
        <v>249101</v>
      </c>
      <c r="F2145" t="s">
        <v>115</v>
      </c>
      <c r="G2145" t="s">
        <v>72</v>
      </c>
      <c r="H2145">
        <v>293116.71000000002</v>
      </c>
      <c r="I2145">
        <v>0</v>
      </c>
      <c r="J2145">
        <v>109711.71</v>
      </c>
      <c r="K2145">
        <v>0</v>
      </c>
      <c r="L2145">
        <v>183405</v>
      </c>
    </row>
    <row r="2146" spans="1:12" x14ac:dyDescent="0.25">
      <c r="A2146" t="str">
        <f t="shared" si="33"/>
        <v>9001102491012026M11</v>
      </c>
      <c r="B2146">
        <v>51321001</v>
      </c>
      <c r="C2146">
        <v>24</v>
      </c>
      <c r="D2146">
        <v>900110</v>
      </c>
      <c r="E2146">
        <v>249101</v>
      </c>
      <c r="F2146" t="s">
        <v>115</v>
      </c>
      <c r="G2146" t="s">
        <v>73</v>
      </c>
      <c r="H2146">
        <v>220400</v>
      </c>
      <c r="I2146">
        <v>0</v>
      </c>
      <c r="J2146">
        <v>36995</v>
      </c>
      <c r="K2146">
        <v>0</v>
      </c>
      <c r="L2146">
        <v>183405</v>
      </c>
    </row>
    <row r="2147" spans="1:12" x14ac:dyDescent="0.25">
      <c r="A2147" t="str">
        <f t="shared" si="33"/>
        <v>9001102491012026M12</v>
      </c>
      <c r="B2147">
        <v>51321001</v>
      </c>
      <c r="C2147">
        <v>24</v>
      </c>
      <c r="D2147">
        <v>900110</v>
      </c>
      <c r="E2147">
        <v>249101</v>
      </c>
      <c r="F2147" t="s">
        <v>115</v>
      </c>
      <c r="G2147" t="s">
        <v>74</v>
      </c>
      <c r="H2147">
        <v>440796.52</v>
      </c>
      <c r="I2147">
        <v>0</v>
      </c>
      <c r="J2147">
        <v>73986.52</v>
      </c>
      <c r="K2147">
        <v>0</v>
      </c>
      <c r="L2147">
        <v>366810</v>
      </c>
    </row>
    <row r="2148" spans="1:12" x14ac:dyDescent="0.25">
      <c r="A2148" t="str">
        <f t="shared" si="33"/>
        <v>7310025P9012026M02</v>
      </c>
      <c r="B2148">
        <v>51321001</v>
      </c>
      <c r="C2148">
        <v>25</v>
      </c>
      <c r="D2148">
        <v>73100</v>
      </c>
      <c r="E2148" t="s">
        <v>85</v>
      </c>
      <c r="F2148" t="s">
        <v>115</v>
      </c>
      <c r="G2148" t="s">
        <v>64</v>
      </c>
      <c r="H2148">
        <v>0</v>
      </c>
      <c r="I2148">
        <v>0</v>
      </c>
      <c r="J2148">
        <v>0</v>
      </c>
      <c r="K2148">
        <v>0</v>
      </c>
      <c r="L2148">
        <v>0</v>
      </c>
    </row>
    <row r="2149" spans="1:12" x14ac:dyDescent="0.25">
      <c r="A2149" t="str">
        <f t="shared" si="33"/>
        <v>7310025P9012026M03</v>
      </c>
      <c r="B2149">
        <v>51321001</v>
      </c>
      <c r="C2149">
        <v>25</v>
      </c>
      <c r="D2149">
        <v>73100</v>
      </c>
      <c r="E2149" t="s">
        <v>85</v>
      </c>
      <c r="F2149" t="s">
        <v>115</v>
      </c>
      <c r="G2149" t="s">
        <v>65</v>
      </c>
      <c r="H2149">
        <v>0</v>
      </c>
      <c r="I2149">
        <v>0</v>
      </c>
      <c r="J2149">
        <v>0</v>
      </c>
      <c r="K2149">
        <v>0</v>
      </c>
      <c r="L2149">
        <v>0</v>
      </c>
    </row>
    <row r="2150" spans="1:12" x14ac:dyDescent="0.25">
      <c r="A2150" t="str">
        <f t="shared" si="33"/>
        <v>7310025P9012026M04</v>
      </c>
      <c r="B2150">
        <v>51321001</v>
      </c>
      <c r="C2150">
        <v>25</v>
      </c>
      <c r="D2150">
        <v>73100</v>
      </c>
      <c r="E2150" t="s">
        <v>85</v>
      </c>
      <c r="F2150" t="s">
        <v>115</v>
      </c>
      <c r="G2150" t="s">
        <v>66</v>
      </c>
      <c r="H2150">
        <v>0</v>
      </c>
      <c r="I2150">
        <v>0</v>
      </c>
      <c r="J2150">
        <v>0</v>
      </c>
      <c r="K2150">
        <v>0</v>
      </c>
      <c r="L2150">
        <v>0</v>
      </c>
    </row>
    <row r="2151" spans="1:12" x14ac:dyDescent="0.25">
      <c r="A2151" t="str">
        <f t="shared" si="33"/>
        <v>7310025P9012026M05</v>
      </c>
      <c r="B2151">
        <v>51321001</v>
      </c>
      <c r="C2151">
        <v>25</v>
      </c>
      <c r="D2151">
        <v>73100</v>
      </c>
      <c r="E2151" t="s">
        <v>85</v>
      </c>
      <c r="F2151" t="s">
        <v>115</v>
      </c>
      <c r="G2151" t="s">
        <v>67</v>
      </c>
      <c r="H2151">
        <v>0</v>
      </c>
      <c r="I2151">
        <v>0</v>
      </c>
      <c r="J2151">
        <v>0</v>
      </c>
      <c r="K2151">
        <v>0</v>
      </c>
      <c r="L2151">
        <v>0</v>
      </c>
    </row>
    <row r="2152" spans="1:12" x14ac:dyDescent="0.25">
      <c r="A2152" t="str">
        <f t="shared" si="33"/>
        <v>7310025P9012026M06</v>
      </c>
      <c r="B2152">
        <v>51321001</v>
      </c>
      <c r="C2152">
        <v>25</v>
      </c>
      <c r="D2152">
        <v>73100</v>
      </c>
      <c r="E2152" t="s">
        <v>85</v>
      </c>
      <c r="F2152" t="s">
        <v>115</v>
      </c>
      <c r="G2152" t="s">
        <v>68</v>
      </c>
      <c r="H2152">
        <v>0</v>
      </c>
      <c r="I2152">
        <v>0</v>
      </c>
      <c r="J2152">
        <v>0</v>
      </c>
      <c r="K2152">
        <v>0</v>
      </c>
      <c r="L2152">
        <v>0</v>
      </c>
    </row>
    <row r="2153" spans="1:12" x14ac:dyDescent="0.25">
      <c r="A2153" t="str">
        <f t="shared" si="33"/>
        <v>7310025P9012026M07</v>
      </c>
      <c r="B2153">
        <v>51321001</v>
      </c>
      <c r="C2153">
        <v>25</v>
      </c>
      <c r="D2153">
        <v>73100</v>
      </c>
      <c r="E2153" t="s">
        <v>85</v>
      </c>
      <c r="F2153" t="s">
        <v>115</v>
      </c>
      <c r="G2153" t="s">
        <v>69</v>
      </c>
      <c r="H2153">
        <v>0</v>
      </c>
      <c r="I2153">
        <v>0</v>
      </c>
      <c r="J2153">
        <v>0</v>
      </c>
      <c r="K2153">
        <v>0</v>
      </c>
      <c r="L2153">
        <v>0</v>
      </c>
    </row>
    <row r="2154" spans="1:12" x14ac:dyDescent="0.25">
      <c r="A2154" t="str">
        <f t="shared" si="33"/>
        <v>7310025P9012026M08</v>
      </c>
      <c r="B2154">
        <v>51321001</v>
      </c>
      <c r="C2154">
        <v>25</v>
      </c>
      <c r="D2154">
        <v>73100</v>
      </c>
      <c r="E2154" t="s">
        <v>85</v>
      </c>
      <c r="F2154" t="s">
        <v>115</v>
      </c>
      <c r="G2154" t="s">
        <v>70</v>
      </c>
      <c r="H2154">
        <v>0</v>
      </c>
      <c r="I2154">
        <v>0</v>
      </c>
      <c r="J2154">
        <v>0</v>
      </c>
      <c r="K2154">
        <v>0</v>
      </c>
      <c r="L2154">
        <v>0</v>
      </c>
    </row>
    <row r="2155" spans="1:12" x14ac:dyDescent="0.25">
      <c r="A2155" t="str">
        <f t="shared" si="33"/>
        <v>7310025P9012026M09</v>
      </c>
      <c r="B2155">
        <v>51321001</v>
      </c>
      <c r="C2155">
        <v>25</v>
      </c>
      <c r="D2155">
        <v>73100</v>
      </c>
      <c r="E2155" t="s">
        <v>85</v>
      </c>
      <c r="F2155" t="s">
        <v>115</v>
      </c>
      <c r="G2155" t="s">
        <v>71</v>
      </c>
      <c r="H2155">
        <v>0</v>
      </c>
      <c r="I2155">
        <v>0</v>
      </c>
      <c r="J2155">
        <v>0</v>
      </c>
      <c r="K2155">
        <v>0</v>
      </c>
      <c r="L2155">
        <v>0</v>
      </c>
    </row>
    <row r="2156" spans="1:12" x14ac:dyDescent="0.25">
      <c r="A2156" t="str">
        <f t="shared" si="33"/>
        <v>7310025P9012026M10</v>
      </c>
      <c r="B2156">
        <v>51321001</v>
      </c>
      <c r="C2156">
        <v>25</v>
      </c>
      <c r="D2156">
        <v>73100</v>
      </c>
      <c r="E2156" t="s">
        <v>85</v>
      </c>
      <c r="F2156" t="s">
        <v>115</v>
      </c>
      <c r="G2156" t="s">
        <v>72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x14ac:dyDescent="0.25">
      <c r="A2157" t="str">
        <f t="shared" si="33"/>
        <v>7310025P9012026M11</v>
      </c>
      <c r="B2157">
        <v>51321001</v>
      </c>
      <c r="C2157">
        <v>25</v>
      </c>
      <c r="D2157">
        <v>73100</v>
      </c>
      <c r="E2157" t="s">
        <v>85</v>
      </c>
      <c r="F2157" t="s">
        <v>115</v>
      </c>
      <c r="G2157" t="s">
        <v>73</v>
      </c>
      <c r="H2157">
        <v>0</v>
      </c>
      <c r="I2157">
        <v>0</v>
      </c>
      <c r="J2157">
        <v>0</v>
      </c>
      <c r="K2157">
        <v>0</v>
      </c>
      <c r="L2157">
        <v>0</v>
      </c>
    </row>
    <row r="2158" spans="1:12" x14ac:dyDescent="0.25">
      <c r="A2158" t="str">
        <f t="shared" si="33"/>
        <v>7310025P9012026M12</v>
      </c>
      <c r="B2158">
        <v>51321001</v>
      </c>
      <c r="C2158">
        <v>25</v>
      </c>
      <c r="D2158">
        <v>73100</v>
      </c>
      <c r="E2158" t="s">
        <v>85</v>
      </c>
      <c r="F2158" t="s">
        <v>115</v>
      </c>
      <c r="G2158" t="s">
        <v>74</v>
      </c>
      <c r="H2158">
        <v>0</v>
      </c>
      <c r="I2158">
        <v>0</v>
      </c>
      <c r="J2158">
        <v>0</v>
      </c>
      <c r="K2158">
        <v>0</v>
      </c>
      <c r="L2158">
        <v>0</v>
      </c>
    </row>
    <row r="2159" spans="1:12" x14ac:dyDescent="0.25">
      <c r="A2159" t="str">
        <f t="shared" si="33"/>
        <v>1009022524072026M02</v>
      </c>
      <c r="B2159">
        <v>51321001</v>
      </c>
      <c r="C2159">
        <v>25</v>
      </c>
      <c r="D2159">
        <v>100902</v>
      </c>
      <c r="E2159">
        <v>252407</v>
      </c>
      <c r="F2159" t="s">
        <v>115</v>
      </c>
      <c r="G2159" t="s">
        <v>64</v>
      </c>
      <c r="H2159">
        <v>0</v>
      </c>
      <c r="I2159">
        <v>0</v>
      </c>
      <c r="J2159">
        <v>0</v>
      </c>
      <c r="K2159">
        <v>0</v>
      </c>
      <c r="L2159">
        <v>0</v>
      </c>
    </row>
    <row r="2160" spans="1:12" x14ac:dyDescent="0.25">
      <c r="A2160" t="str">
        <f t="shared" si="33"/>
        <v>1009022524072026M03</v>
      </c>
      <c r="B2160">
        <v>51321001</v>
      </c>
      <c r="C2160">
        <v>25</v>
      </c>
      <c r="D2160">
        <v>100902</v>
      </c>
      <c r="E2160">
        <v>252407</v>
      </c>
      <c r="F2160" t="s">
        <v>115</v>
      </c>
      <c r="G2160" t="s">
        <v>65</v>
      </c>
      <c r="H2160">
        <v>0</v>
      </c>
      <c r="I2160">
        <v>0</v>
      </c>
      <c r="J2160">
        <v>0</v>
      </c>
      <c r="K2160">
        <v>0</v>
      </c>
      <c r="L2160">
        <v>0</v>
      </c>
    </row>
    <row r="2161" spans="1:12" x14ac:dyDescent="0.25">
      <c r="A2161" t="str">
        <f t="shared" si="33"/>
        <v>1009022524072026M04</v>
      </c>
      <c r="B2161">
        <v>51321001</v>
      </c>
      <c r="C2161">
        <v>25</v>
      </c>
      <c r="D2161">
        <v>100902</v>
      </c>
      <c r="E2161">
        <v>252407</v>
      </c>
      <c r="F2161" t="s">
        <v>115</v>
      </c>
      <c r="G2161" t="s">
        <v>66</v>
      </c>
      <c r="H2161">
        <v>0</v>
      </c>
      <c r="I2161">
        <v>0</v>
      </c>
      <c r="J2161">
        <v>0</v>
      </c>
      <c r="K2161">
        <v>0</v>
      </c>
      <c r="L2161">
        <v>0</v>
      </c>
    </row>
    <row r="2162" spans="1:12" x14ac:dyDescent="0.25">
      <c r="A2162" t="str">
        <f t="shared" si="33"/>
        <v>1009022524072026M05</v>
      </c>
      <c r="B2162">
        <v>51321001</v>
      </c>
      <c r="C2162">
        <v>25</v>
      </c>
      <c r="D2162">
        <v>100902</v>
      </c>
      <c r="E2162">
        <v>252407</v>
      </c>
      <c r="F2162" t="s">
        <v>115</v>
      </c>
      <c r="G2162" t="s">
        <v>67</v>
      </c>
      <c r="H2162">
        <v>0</v>
      </c>
      <c r="I2162">
        <v>0</v>
      </c>
      <c r="J2162">
        <v>0</v>
      </c>
      <c r="K2162">
        <v>0</v>
      </c>
      <c r="L2162">
        <v>0</v>
      </c>
    </row>
    <row r="2163" spans="1:12" x14ac:dyDescent="0.25">
      <c r="A2163" t="str">
        <f t="shared" si="33"/>
        <v>1009022524072026M06</v>
      </c>
      <c r="B2163">
        <v>51321001</v>
      </c>
      <c r="C2163">
        <v>25</v>
      </c>
      <c r="D2163">
        <v>100902</v>
      </c>
      <c r="E2163">
        <v>252407</v>
      </c>
      <c r="F2163" t="s">
        <v>115</v>
      </c>
      <c r="G2163" t="s">
        <v>68</v>
      </c>
      <c r="H2163">
        <v>43732.05</v>
      </c>
      <c r="I2163">
        <v>43732.05</v>
      </c>
      <c r="J2163">
        <v>0</v>
      </c>
      <c r="K2163">
        <v>0</v>
      </c>
      <c r="L2163">
        <v>0</v>
      </c>
    </row>
    <row r="2164" spans="1:12" x14ac:dyDescent="0.25">
      <c r="A2164" t="str">
        <f t="shared" si="33"/>
        <v>1009022524072026M07</v>
      </c>
      <c r="B2164">
        <v>51321001</v>
      </c>
      <c r="C2164">
        <v>25</v>
      </c>
      <c r="D2164">
        <v>100902</v>
      </c>
      <c r="E2164">
        <v>252407</v>
      </c>
      <c r="F2164" t="s">
        <v>115</v>
      </c>
      <c r="G2164" t="s">
        <v>69</v>
      </c>
      <c r="H2164">
        <v>8746.41</v>
      </c>
      <c r="I2164">
        <v>8746.41</v>
      </c>
      <c r="J2164">
        <v>0</v>
      </c>
      <c r="K2164">
        <v>0</v>
      </c>
      <c r="L2164">
        <v>0</v>
      </c>
    </row>
    <row r="2165" spans="1:12" x14ac:dyDescent="0.25">
      <c r="A2165" t="str">
        <f t="shared" si="33"/>
        <v>1009022524072026M08</v>
      </c>
      <c r="B2165">
        <v>51321001</v>
      </c>
      <c r="C2165">
        <v>25</v>
      </c>
      <c r="D2165">
        <v>100902</v>
      </c>
      <c r="E2165">
        <v>252407</v>
      </c>
      <c r="F2165" t="s">
        <v>115</v>
      </c>
      <c r="G2165" t="s">
        <v>70</v>
      </c>
      <c r="H2165">
        <v>8746.41</v>
      </c>
      <c r="I2165">
        <v>8746.41</v>
      </c>
      <c r="J2165">
        <v>0</v>
      </c>
      <c r="K2165">
        <v>0</v>
      </c>
      <c r="L2165">
        <v>0</v>
      </c>
    </row>
    <row r="2166" spans="1:12" x14ac:dyDescent="0.25">
      <c r="A2166" t="str">
        <f t="shared" si="33"/>
        <v>1009022524072026M09</v>
      </c>
      <c r="B2166">
        <v>51321001</v>
      </c>
      <c r="C2166">
        <v>25</v>
      </c>
      <c r="D2166">
        <v>100902</v>
      </c>
      <c r="E2166">
        <v>252407</v>
      </c>
      <c r="F2166" t="s">
        <v>115</v>
      </c>
      <c r="G2166" t="s">
        <v>71</v>
      </c>
      <c r="H2166">
        <v>8746.41</v>
      </c>
      <c r="I2166">
        <v>8746.41</v>
      </c>
      <c r="J2166">
        <v>0</v>
      </c>
      <c r="K2166">
        <v>0</v>
      </c>
      <c r="L2166">
        <v>0</v>
      </c>
    </row>
    <row r="2167" spans="1:12" x14ac:dyDescent="0.25">
      <c r="A2167" t="str">
        <f t="shared" si="33"/>
        <v>1009022524072026M10</v>
      </c>
      <c r="B2167">
        <v>51321001</v>
      </c>
      <c r="C2167">
        <v>25</v>
      </c>
      <c r="D2167">
        <v>100902</v>
      </c>
      <c r="E2167">
        <v>252407</v>
      </c>
      <c r="F2167" t="s">
        <v>115</v>
      </c>
      <c r="G2167" t="s">
        <v>72</v>
      </c>
      <c r="H2167">
        <v>8751.7199999999993</v>
      </c>
      <c r="I2167">
        <v>0</v>
      </c>
      <c r="J2167">
        <v>8751.7199999999993</v>
      </c>
      <c r="K2167">
        <v>0</v>
      </c>
      <c r="L2167">
        <v>0</v>
      </c>
    </row>
    <row r="2168" spans="1:12" x14ac:dyDescent="0.25">
      <c r="A2168" t="str">
        <f t="shared" si="33"/>
        <v>1009022524072026M11</v>
      </c>
      <c r="B2168">
        <v>51321001</v>
      </c>
      <c r="C2168">
        <v>25</v>
      </c>
      <c r="D2168">
        <v>100902</v>
      </c>
      <c r="E2168">
        <v>252407</v>
      </c>
      <c r="F2168" t="s">
        <v>115</v>
      </c>
      <c r="G2168" t="s">
        <v>73</v>
      </c>
      <c r="H2168">
        <v>8747</v>
      </c>
      <c r="I2168">
        <v>0</v>
      </c>
      <c r="J2168">
        <v>8747</v>
      </c>
      <c r="K2168">
        <v>0</v>
      </c>
      <c r="L2168">
        <v>0</v>
      </c>
    </row>
    <row r="2169" spans="1:12" x14ac:dyDescent="0.25">
      <c r="A2169" t="str">
        <f t="shared" si="33"/>
        <v>1009022524072026M12</v>
      </c>
      <c r="B2169">
        <v>51321001</v>
      </c>
      <c r="C2169">
        <v>25</v>
      </c>
      <c r="D2169">
        <v>100902</v>
      </c>
      <c r="E2169">
        <v>252407</v>
      </c>
      <c r="F2169" t="s">
        <v>115</v>
      </c>
      <c r="G2169" t="s">
        <v>74</v>
      </c>
      <c r="H2169">
        <v>17486.919999999998</v>
      </c>
      <c r="I2169">
        <v>0</v>
      </c>
      <c r="J2169">
        <v>17486.919999999998</v>
      </c>
      <c r="K2169">
        <v>0</v>
      </c>
      <c r="L2169">
        <v>0</v>
      </c>
    </row>
    <row r="2170" spans="1:12" x14ac:dyDescent="0.25">
      <c r="A2170" t="str">
        <f t="shared" si="33"/>
        <v>1429022590012026M02</v>
      </c>
      <c r="B2170">
        <v>51321001</v>
      </c>
      <c r="C2170">
        <v>25</v>
      </c>
      <c r="D2170">
        <v>142902</v>
      </c>
      <c r="E2170">
        <v>259001</v>
      </c>
      <c r="F2170" t="s">
        <v>115</v>
      </c>
      <c r="G2170" t="s">
        <v>64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x14ac:dyDescent="0.25">
      <c r="A2171" t="str">
        <f t="shared" si="33"/>
        <v>1429022590012026M03</v>
      </c>
      <c r="B2171">
        <v>51321001</v>
      </c>
      <c r="C2171">
        <v>25</v>
      </c>
      <c r="D2171">
        <v>142902</v>
      </c>
      <c r="E2171">
        <v>259001</v>
      </c>
      <c r="F2171" t="s">
        <v>115</v>
      </c>
      <c r="G2171" t="s">
        <v>65</v>
      </c>
      <c r="H2171">
        <v>0</v>
      </c>
      <c r="I2171">
        <v>0</v>
      </c>
      <c r="J2171">
        <v>0</v>
      </c>
      <c r="K2171">
        <v>0</v>
      </c>
      <c r="L2171">
        <v>0</v>
      </c>
    </row>
    <row r="2172" spans="1:12" x14ac:dyDescent="0.25">
      <c r="A2172" t="str">
        <f t="shared" si="33"/>
        <v>1429022590012026M04</v>
      </c>
      <c r="B2172">
        <v>51321001</v>
      </c>
      <c r="C2172">
        <v>25</v>
      </c>
      <c r="D2172">
        <v>142902</v>
      </c>
      <c r="E2172">
        <v>259001</v>
      </c>
      <c r="F2172" t="s">
        <v>115</v>
      </c>
      <c r="G2172" t="s">
        <v>66</v>
      </c>
      <c r="H2172">
        <v>0</v>
      </c>
      <c r="I2172">
        <v>0</v>
      </c>
      <c r="J2172">
        <v>0</v>
      </c>
      <c r="K2172">
        <v>0</v>
      </c>
      <c r="L2172">
        <v>0</v>
      </c>
    </row>
    <row r="2173" spans="1:12" x14ac:dyDescent="0.25">
      <c r="A2173" t="str">
        <f t="shared" si="33"/>
        <v>1429022590012026M05</v>
      </c>
      <c r="B2173">
        <v>51321001</v>
      </c>
      <c r="C2173">
        <v>25</v>
      </c>
      <c r="D2173">
        <v>142902</v>
      </c>
      <c r="E2173">
        <v>259001</v>
      </c>
      <c r="F2173" t="s">
        <v>115</v>
      </c>
      <c r="G2173" t="s">
        <v>67</v>
      </c>
      <c r="H2173">
        <v>0</v>
      </c>
      <c r="I2173">
        <v>0</v>
      </c>
      <c r="J2173">
        <v>0</v>
      </c>
      <c r="K2173">
        <v>0</v>
      </c>
      <c r="L2173">
        <v>0</v>
      </c>
    </row>
    <row r="2174" spans="1:12" x14ac:dyDescent="0.25">
      <c r="A2174" t="str">
        <f t="shared" si="33"/>
        <v>1429022590012026M06</v>
      </c>
      <c r="B2174">
        <v>51321001</v>
      </c>
      <c r="C2174">
        <v>25</v>
      </c>
      <c r="D2174">
        <v>142902</v>
      </c>
      <c r="E2174">
        <v>259001</v>
      </c>
      <c r="F2174" t="s">
        <v>115</v>
      </c>
      <c r="G2174" t="s">
        <v>68</v>
      </c>
      <c r="H2174">
        <v>0</v>
      </c>
      <c r="I2174">
        <v>0</v>
      </c>
      <c r="J2174">
        <v>0</v>
      </c>
      <c r="K2174">
        <v>0</v>
      </c>
      <c r="L2174">
        <v>0</v>
      </c>
    </row>
    <row r="2175" spans="1:12" x14ac:dyDescent="0.25">
      <c r="A2175" t="str">
        <f t="shared" si="33"/>
        <v>1429022590012026M07</v>
      </c>
      <c r="B2175">
        <v>51321001</v>
      </c>
      <c r="C2175">
        <v>25</v>
      </c>
      <c r="D2175">
        <v>142902</v>
      </c>
      <c r="E2175">
        <v>259001</v>
      </c>
      <c r="F2175" t="s">
        <v>115</v>
      </c>
      <c r="G2175" t="s">
        <v>69</v>
      </c>
      <c r="H2175">
        <v>0</v>
      </c>
      <c r="I2175">
        <v>0</v>
      </c>
      <c r="J2175">
        <v>0</v>
      </c>
      <c r="K2175">
        <v>0</v>
      </c>
      <c r="L2175">
        <v>0</v>
      </c>
    </row>
    <row r="2176" spans="1:12" x14ac:dyDescent="0.25">
      <c r="A2176" t="str">
        <f t="shared" si="33"/>
        <v>1429022590012026M08</v>
      </c>
      <c r="B2176">
        <v>51321001</v>
      </c>
      <c r="C2176">
        <v>25</v>
      </c>
      <c r="D2176">
        <v>142902</v>
      </c>
      <c r="E2176">
        <v>259001</v>
      </c>
      <c r="F2176" t="s">
        <v>115</v>
      </c>
      <c r="G2176" t="s">
        <v>70</v>
      </c>
      <c r="H2176">
        <v>0</v>
      </c>
      <c r="I2176">
        <v>0</v>
      </c>
      <c r="J2176">
        <v>0</v>
      </c>
      <c r="K2176">
        <v>0</v>
      </c>
      <c r="L2176">
        <v>0</v>
      </c>
    </row>
    <row r="2177" spans="1:12" x14ac:dyDescent="0.25">
      <c r="A2177" t="str">
        <f t="shared" si="33"/>
        <v>1429022590012026M09</v>
      </c>
      <c r="B2177">
        <v>51321001</v>
      </c>
      <c r="C2177">
        <v>25</v>
      </c>
      <c r="D2177">
        <v>142902</v>
      </c>
      <c r="E2177">
        <v>259001</v>
      </c>
      <c r="F2177" t="s">
        <v>115</v>
      </c>
      <c r="G2177" t="s">
        <v>71</v>
      </c>
      <c r="H2177">
        <v>0</v>
      </c>
      <c r="I2177">
        <v>0</v>
      </c>
      <c r="J2177">
        <v>0</v>
      </c>
      <c r="K2177">
        <v>0</v>
      </c>
      <c r="L2177">
        <v>0</v>
      </c>
    </row>
    <row r="2178" spans="1:12" x14ac:dyDescent="0.25">
      <c r="A2178" t="str">
        <f t="shared" si="33"/>
        <v>1429022590012026M10</v>
      </c>
      <c r="B2178">
        <v>51321001</v>
      </c>
      <c r="C2178">
        <v>25</v>
      </c>
      <c r="D2178">
        <v>142902</v>
      </c>
      <c r="E2178">
        <v>259001</v>
      </c>
      <c r="F2178" t="s">
        <v>115</v>
      </c>
      <c r="G2178" t="s">
        <v>72</v>
      </c>
      <c r="H2178">
        <v>0</v>
      </c>
      <c r="I2178">
        <v>0</v>
      </c>
      <c r="J2178">
        <v>0</v>
      </c>
      <c r="K2178">
        <v>0</v>
      </c>
      <c r="L2178">
        <v>0</v>
      </c>
    </row>
    <row r="2179" spans="1:12" x14ac:dyDescent="0.25">
      <c r="A2179" t="str">
        <f t="shared" si="33"/>
        <v>1429022590012026M11</v>
      </c>
      <c r="B2179">
        <v>51321001</v>
      </c>
      <c r="C2179">
        <v>25</v>
      </c>
      <c r="D2179">
        <v>142902</v>
      </c>
      <c r="E2179">
        <v>259001</v>
      </c>
      <c r="F2179" t="s">
        <v>115</v>
      </c>
      <c r="G2179" t="s">
        <v>73</v>
      </c>
      <c r="H2179">
        <v>0</v>
      </c>
      <c r="I2179">
        <v>0</v>
      </c>
      <c r="J2179">
        <v>0</v>
      </c>
      <c r="K2179">
        <v>0</v>
      </c>
      <c r="L2179">
        <v>0</v>
      </c>
    </row>
    <row r="2180" spans="1:12" x14ac:dyDescent="0.25">
      <c r="A2180" t="str">
        <f t="shared" si="33"/>
        <v>1429022590012026M12</v>
      </c>
      <c r="B2180">
        <v>51321001</v>
      </c>
      <c r="C2180">
        <v>25</v>
      </c>
      <c r="D2180">
        <v>142902</v>
      </c>
      <c r="E2180">
        <v>259001</v>
      </c>
      <c r="F2180" t="s">
        <v>115</v>
      </c>
      <c r="G2180" t="s">
        <v>74</v>
      </c>
      <c r="H2180">
        <v>0</v>
      </c>
      <c r="I2180">
        <v>0</v>
      </c>
      <c r="J2180">
        <v>0</v>
      </c>
      <c r="K2180">
        <v>0</v>
      </c>
      <c r="L2180">
        <v>0</v>
      </c>
    </row>
    <row r="2181" spans="1:12" x14ac:dyDescent="0.25">
      <c r="A2181" t="str">
        <f t="shared" si="33"/>
        <v>1501002590012026M02</v>
      </c>
      <c r="B2181">
        <v>51321001</v>
      </c>
      <c r="C2181">
        <v>25</v>
      </c>
      <c r="D2181">
        <v>150100</v>
      </c>
      <c r="E2181">
        <v>259001</v>
      </c>
      <c r="F2181" t="s">
        <v>115</v>
      </c>
      <c r="G2181" t="s">
        <v>64</v>
      </c>
      <c r="H2181">
        <v>0</v>
      </c>
      <c r="I2181">
        <v>0</v>
      </c>
      <c r="J2181">
        <v>0</v>
      </c>
      <c r="K2181">
        <v>0</v>
      </c>
      <c r="L2181">
        <v>0</v>
      </c>
    </row>
    <row r="2182" spans="1:12" x14ac:dyDescent="0.25">
      <c r="A2182" t="str">
        <f t="shared" si="33"/>
        <v>1501002590012026M03</v>
      </c>
      <c r="B2182">
        <v>51321001</v>
      </c>
      <c r="C2182">
        <v>25</v>
      </c>
      <c r="D2182">
        <v>150100</v>
      </c>
      <c r="E2182">
        <v>259001</v>
      </c>
      <c r="F2182" t="s">
        <v>115</v>
      </c>
      <c r="G2182" t="s">
        <v>65</v>
      </c>
      <c r="H2182">
        <v>0</v>
      </c>
      <c r="I2182">
        <v>0</v>
      </c>
      <c r="J2182">
        <v>0</v>
      </c>
      <c r="K2182">
        <v>0</v>
      </c>
      <c r="L2182">
        <v>0</v>
      </c>
    </row>
    <row r="2183" spans="1:12" x14ac:dyDescent="0.25">
      <c r="A2183" t="str">
        <f t="shared" si="33"/>
        <v>1501002590012026M04</v>
      </c>
      <c r="B2183">
        <v>51321001</v>
      </c>
      <c r="C2183">
        <v>25</v>
      </c>
      <c r="D2183">
        <v>150100</v>
      </c>
      <c r="E2183">
        <v>259001</v>
      </c>
      <c r="F2183" t="s">
        <v>115</v>
      </c>
      <c r="G2183" t="s">
        <v>66</v>
      </c>
      <c r="H2183">
        <v>0</v>
      </c>
      <c r="I2183">
        <v>0</v>
      </c>
      <c r="J2183">
        <v>0</v>
      </c>
      <c r="K2183">
        <v>0</v>
      </c>
      <c r="L2183">
        <v>0</v>
      </c>
    </row>
    <row r="2184" spans="1:12" x14ac:dyDescent="0.25">
      <c r="A2184" t="str">
        <f t="shared" si="33"/>
        <v>1501002590012026M05</v>
      </c>
      <c r="B2184">
        <v>51321001</v>
      </c>
      <c r="C2184">
        <v>25</v>
      </c>
      <c r="D2184">
        <v>150100</v>
      </c>
      <c r="E2184">
        <v>259001</v>
      </c>
      <c r="F2184" t="s">
        <v>115</v>
      </c>
      <c r="G2184" t="s">
        <v>67</v>
      </c>
      <c r="H2184">
        <v>0</v>
      </c>
      <c r="I2184">
        <v>0</v>
      </c>
      <c r="J2184">
        <v>0</v>
      </c>
      <c r="K2184">
        <v>0</v>
      </c>
      <c r="L2184">
        <v>0</v>
      </c>
    </row>
    <row r="2185" spans="1:12" x14ac:dyDescent="0.25">
      <c r="A2185" t="str">
        <f t="shared" si="33"/>
        <v>1501002590012026M06</v>
      </c>
      <c r="B2185">
        <v>51321001</v>
      </c>
      <c r="C2185">
        <v>25</v>
      </c>
      <c r="D2185">
        <v>150100</v>
      </c>
      <c r="E2185">
        <v>259001</v>
      </c>
      <c r="F2185" t="s">
        <v>115</v>
      </c>
      <c r="G2185" t="s">
        <v>68</v>
      </c>
      <c r="H2185">
        <v>0</v>
      </c>
      <c r="I2185">
        <v>0</v>
      </c>
      <c r="J2185">
        <v>0</v>
      </c>
      <c r="K2185">
        <v>0</v>
      </c>
      <c r="L2185">
        <v>0</v>
      </c>
    </row>
    <row r="2186" spans="1:12" x14ac:dyDescent="0.25">
      <c r="A2186" t="str">
        <f t="shared" si="33"/>
        <v>1501002590012026M07</v>
      </c>
      <c r="B2186">
        <v>51321001</v>
      </c>
      <c r="C2186">
        <v>25</v>
      </c>
      <c r="D2186">
        <v>150100</v>
      </c>
      <c r="E2186">
        <v>259001</v>
      </c>
      <c r="F2186" t="s">
        <v>115</v>
      </c>
      <c r="G2186" t="s">
        <v>69</v>
      </c>
      <c r="H2186">
        <v>0</v>
      </c>
      <c r="I2186">
        <v>0</v>
      </c>
      <c r="J2186">
        <v>0</v>
      </c>
      <c r="K2186">
        <v>0</v>
      </c>
      <c r="L2186">
        <v>0</v>
      </c>
    </row>
    <row r="2187" spans="1:12" x14ac:dyDescent="0.25">
      <c r="A2187" t="str">
        <f t="shared" ref="A2187:A2250" si="34">D2187&amp;E2187&amp;G2187</f>
        <v>1501002590012026M08</v>
      </c>
      <c r="B2187">
        <v>51321001</v>
      </c>
      <c r="C2187">
        <v>25</v>
      </c>
      <c r="D2187">
        <v>150100</v>
      </c>
      <c r="E2187">
        <v>259001</v>
      </c>
      <c r="F2187" t="s">
        <v>115</v>
      </c>
      <c r="G2187" t="s">
        <v>70</v>
      </c>
      <c r="H2187">
        <v>0</v>
      </c>
      <c r="I2187">
        <v>0</v>
      </c>
      <c r="J2187">
        <v>0</v>
      </c>
      <c r="K2187">
        <v>0</v>
      </c>
      <c r="L2187">
        <v>0</v>
      </c>
    </row>
    <row r="2188" spans="1:12" x14ac:dyDescent="0.25">
      <c r="A2188" t="str">
        <f t="shared" si="34"/>
        <v>1501002590012026M09</v>
      </c>
      <c r="B2188">
        <v>51321001</v>
      </c>
      <c r="C2188">
        <v>25</v>
      </c>
      <c r="D2188">
        <v>150100</v>
      </c>
      <c r="E2188">
        <v>259001</v>
      </c>
      <c r="F2188" t="s">
        <v>115</v>
      </c>
      <c r="G2188" t="s">
        <v>71</v>
      </c>
      <c r="H2188">
        <v>0</v>
      </c>
      <c r="I2188">
        <v>0</v>
      </c>
      <c r="J2188">
        <v>0</v>
      </c>
      <c r="K2188">
        <v>0</v>
      </c>
      <c r="L2188">
        <v>0</v>
      </c>
    </row>
    <row r="2189" spans="1:12" x14ac:dyDescent="0.25">
      <c r="A2189" t="str">
        <f t="shared" si="34"/>
        <v>1501002590012026M10</v>
      </c>
      <c r="B2189">
        <v>51321001</v>
      </c>
      <c r="C2189">
        <v>25</v>
      </c>
      <c r="D2189">
        <v>150100</v>
      </c>
      <c r="E2189">
        <v>259001</v>
      </c>
      <c r="F2189" t="s">
        <v>115</v>
      </c>
      <c r="G2189" t="s">
        <v>72</v>
      </c>
      <c r="H2189">
        <v>0</v>
      </c>
      <c r="I2189">
        <v>0</v>
      </c>
      <c r="J2189">
        <v>0</v>
      </c>
      <c r="K2189">
        <v>0</v>
      </c>
      <c r="L2189">
        <v>0</v>
      </c>
    </row>
    <row r="2190" spans="1:12" x14ac:dyDescent="0.25">
      <c r="A2190" t="str">
        <f t="shared" si="34"/>
        <v>1501002590012026M11</v>
      </c>
      <c r="B2190">
        <v>51321001</v>
      </c>
      <c r="C2190">
        <v>25</v>
      </c>
      <c r="D2190">
        <v>150100</v>
      </c>
      <c r="E2190">
        <v>259001</v>
      </c>
      <c r="F2190" t="s">
        <v>115</v>
      </c>
      <c r="G2190" t="s">
        <v>73</v>
      </c>
      <c r="H2190">
        <v>0</v>
      </c>
      <c r="I2190">
        <v>0</v>
      </c>
      <c r="J2190">
        <v>0</v>
      </c>
      <c r="K2190">
        <v>0</v>
      </c>
      <c r="L2190">
        <v>0</v>
      </c>
    </row>
    <row r="2191" spans="1:12" x14ac:dyDescent="0.25">
      <c r="A2191" t="str">
        <f t="shared" si="34"/>
        <v>1501002590012026M12</v>
      </c>
      <c r="B2191">
        <v>51321001</v>
      </c>
      <c r="C2191">
        <v>25</v>
      </c>
      <c r="D2191">
        <v>150100</v>
      </c>
      <c r="E2191">
        <v>259001</v>
      </c>
      <c r="F2191" t="s">
        <v>115</v>
      </c>
      <c r="G2191" t="s">
        <v>74</v>
      </c>
      <c r="H2191">
        <v>0</v>
      </c>
      <c r="I2191">
        <v>0</v>
      </c>
      <c r="J2191">
        <v>0</v>
      </c>
      <c r="K2191">
        <v>0</v>
      </c>
      <c r="L2191">
        <v>0</v>
      </c>
    </row>
    <row r="2192" spans="1:12" x14ac:dyDescent="0.25">
      <c r="A2192" t="str">
        <f t="shared" si="34"/>
        <v>5001002590012026M02</v>
      </c>
      <c r="B2192">
        <v>51321001</v>
      </c>
      <c r="C2192">
        <v>25</v>
      </c>
      <c r="D2192">
        <v>500100</v>
      </c>
      <c r="E2192">
        <v>259001</v>
      </c>
      <c r="F2192" t="s">
        <v>115</v>
      </c>
      <c r="G2192" t="s">
        <v>64</v>
      </c>
      <c r="H2192">
        <v>0</v>
      </c>
      <c r="I2192">
        <v>0</v>
      </c>
      <c r="J2192">
        <v>0</v>
      </c>
      <c r="K2192">
        <v>0</v>
      </c>
      <c r="L2192">
        <v>0</v>
      </c>
    </row>
    <row r="2193" spans="1:12" x14ac:dyDescent="0.25">
      <c r="A2193" t="str">
        <f t="shared" si="34"/>
        <v>5001002590012026M03</v>
      </c>
      <c r="B2193">
        <v>51321001</v>
      </c>
      <c r="C2193">
        <v>25</v>
      </c>
      <c r="D2193">
        <v>500100</v>
      </c>
      <c r="E2193">
        <v>259001</v>
      </c>
      <c r="F2193" t="s">
        <v>115</v>
      </c>
      <c r="G2193" t="s">
        <v>65</v>
      </c>
      <c r="H2193">
        <v>64959.96</v>
      </c>
      <c r="I2193">
        <v>64959.96</v>
      </c>
      <c r="J2193">
        <v>0</v>
      </c>
      <c r="K2193">
        <v>0</v>
      </c>
      <c r="L2193">
        <v>0</v>
      </c>
    </row>
    <row r="2194" spans="1:12" x14ac:dyDescent="0.25">
      <c r="A2194" t="str">
        <f t="shared" si="34"/>
        <v>5001002590012026M04</v>
      </c>
      <c r="B2194">
        <v>51321001</v>
      </c>
      <c r="C2194">
        <v>25</v>
      </c>
      <c r="D2194">
        <v>500100</v>
      </c>
      <c r="E2194">
        <v>259001</v>
      </c>
      <c r="F2194" t="s">
        <v>115</v>
      </c>
      <c r="G2194" t="s">
        <v>66</v>
      </c>
      <c r="H2194">
        <v>32479.98</v>
      </c>
      <c r="I2194">
        <v>32479.98</v>
      </c>
      <c r="J2194">
        <v>0</v>
      </c>
      <c r="K2194">
        <v>0</v>
      </c>
      <c r="L2194">
        <v>0</v>
      </c>
    </row>
    <row r="2195" spans="1:12" x14ac:dyDescent="0.25">
      <c r="A2195" t="str">
        <f t="shared" si="34"/>
        <v>5001002590012026M05</v>
      </c>
      <c r="B2195">
        <v>51321001</v>
      </c>
      <c r="C2195">
        <v>25</v>
      </c>
      <c r="D2195">
        <v>500100</v>
      </c>
      <c r="E2195">
        <v>259001</v>
      </c>
      <c r="F2195" t="s">
        <v>115</v>
      </c>
      <c r="G2195" t="s">
        <v>67</v>
      </c>
      <c r="H2195">
        <v>32479.98</v>
      </c>
      <c r="I2195">
        <v>32479.98</v>
      </c>
      <c r="J2195">
        <v>0</v>
      </c>
      <c r="K2195">
        <v>0</v>
      </c>
      <c r="L2195">
        <v>0</v>
      </c>
    </row>
    <row r="2196" spans="1:12" x14ac:dyDescent="0.25">
      <c r="A2196" t="str">
        <f t="shared" si="34"/>
        <v>5001002590012026M06</v>
      </c>
      <c r="B2196">
        <v>51321001</v>
      </c>
      <c r="C2196">
        <v>25</v>
      </c>
      <c r="D2196">
        <v>500100</v>
      </c>
      <c r="E2196">
        <v>259001</v>
      </c>
      <c r="F2196" t="s">
        <v>115</v>
      </c>
      <c r="G2196" t="s">
        <v>68</v>
      </c>
      <c r="H2196">
        <v>32479.98</v>
      </c>
      <c r="I2196">
        <v>32479.98</v>
      </c>
      <c r="J2196">
        <v>0</v>
      </c>
      <c r="K2196">
        <v>0</v>
      </c>
      <c r="L2196">
        <v>0</v>
      </c>
    </row>
    <row r="2197" spans="1:12" x14ac:dyDescent="0.25">
      <c r="A2197" t="str">
        <f t="shared" si="34"/>
        <v>5001002590012026M07</v>
      </c>
      <c r="B2197">
        <v>51321001</v>
      </c>
      <c r="C2197">
        <v>25</v>
      </c>
      <c r="D2197">
        <v>500100</v>
      </c>
      <c r="E2197">
        <v>259001</v>
      </c>
      <c r="F2197" t="s">
        <v>115</v>
      </c>
      <c r="G2197" t="s">
        <v>69</v>
      </c>
      <c r="H2197">
        <v>32479.98</v>
      </c>
      <c r="I2197">
        <v>32479.98</v>
      </c>
      <c r="J2197">
        <v>0</v>
      </c>
      <c r="K2197">
        <v>0</v>
      </c>
      <c r="L2197">
        <v>0</v>
      </c>
    </row>
    <row r="2198" spans="1:12" x14ac:dyDescent="0.25">
      <c r="A2198" t="str">
        <f t="shared" si="34"/>
        <v>5001002590012026M08</v>
      </c>
      <c r="B2198">
        <v>51321001</v>
      </c>
      <c r="C2198">
        <v>25</v>
      </c>
      <c r="D2198">
        <v>500100</v>
      </c>
      <c r="E2198">
        <v>259001</v>
      </c>
      <c r="F2198" t="s">
        <v>115</v>
      </c>
      <c r="G2198" t="s">
        <v>70</v>
      </c>
      <c r="H2198">
        <v>32479.98</v>
      </c>
      <c r="I2198">
        <v>32479.98</v>
      </c>
      <c r="J2198">
        <v>0</v>
      </c>
      <c r="K2198">
        <v>0</v>
      </c>
      <c r="L2198">
        <v>0</v>
      </c>
    </row>
    <row r="2199" spans="1:12" x14ac:dyDescent="0.25">
      <c r="A2199" t="str">
        <f t="shared" si="34"/>
        <v>5001002590012026M09</v>
      </c>
      <c r="B2199">
        <v>51321001</v>
      </c>
      <c r="C2199">
        <v>25</v>
      </c>
      <c r="D2199">
        <v>500100</v>
      </c>
      <c r="E2199">
        <v>259001</v>
      </c>
      <c r="F2199" t="s">
        <v>115</v>
      </c>
      <c r="G2199" t="s">
        <v>71</v>
      </c>
      <c r="H2199">
        <v>32479.98</v>
      </c>
      <c r="I2199">
        <v>32479.98</v>
      </c>
      <c r="J2199">
        <v>0</v>
      </c>
      <c r="K2199">
        <v>0</v>
      </c>
      <c r="L2199">
        <v>0</v>
      </c>
    </row>
    <row r="2200" spans="1:12" x14ac:dyDescent="0.25">
      <c r="A2200" t="str">
        <f t="shared" si="34"/>
        <v>5001002590012026M10</v>
      </c>
      <c r="B2200">
        <v>51321001</v>
      </c>
      <c r="C2200">
        <v>25</v>
      </c>
      <c r="D2200">
        <v>500100</v>
      </c>
      <c r="E2200">
        <v>259001</v>
      </c>
      <c r="F2200" t="s">
        <v>115</v>
      </c>
      <c r="G2200" t="s">
        <v>72</v>
      </c>
      <c r="H2200">
        <v>32480.16</v>
      </c>
      <c r="I2200">
        <v>32479.98</v>
      </c>
      <c r="J2200">
        <v>0.18</v>
      </c>
      <c r="K2200">
        <v>0</v>
      </c>
      <c r="L2200">
        <v>0</v>
      </c>
    </row>
    <row r="2201" spans="1:12" x14ac:dyDescent="0.25">
      <c r="A2201" t="str">
        <f t="shared" si="34"/>
        <v>5001002590012026M11</v>
      </c>
      <c r="B2201">
        <v>51321001</v>
      </c>
      <c r="C2201">
        <v>25</v>
      </c>
      <c r="D2201">
        <v>500100</v>
      </c>
      <c r="E2201">
        <v>259001</v>
      </c>
      <c r="F2201" t="s">
        <v>115</v>
      </c>
      <c r="G2201" t="s">
        <v>73</v>
      </c>
      <c r="H2201">
        <v>32480</v>
      </c>
      <c r="I2201">
        <v>0</v>
      </c>
      <c r="J2201">
        <v>32480</v>
      </c>
      <c r="K2201">
        <v>0</v>
      </c>
      <c r="L2201">
        <v>0</v>
      </c>
    </row>
    <row r="2202" spans="1:12" x14ac:dyDescent="0.25">
      <c r="A2202" t="str">
        <f t="shared" si="34"/>
        <v>5001002590012026M12</v>
      </c>
      <c r="B2202">
        <v>51321001</v>
      </c>
      <c r="C2202">
        <v>25</v>
      </c>
      <c r="D2202">
        <v>500100</v>
      </c>
      <c r="E2202">
        <v>259001</v>
      </c>
      <c r="F2202" t="s">
        <v>115</v>
      </c>
      <c r="G2202" t="s">
        <v>74</v>
      </c>
      <c r="H2202">
        <v>64960</v>
      </c>
      <c r="I2202">
        <v>0</v>
      </c>
      <c r="J2202">
        <v>64960</v>
      </c>
      <c r="K2202">
        <v>0</v>
      </c>
      <c r="L2202">
        <v>0</v>
      </c>
    </row>
    <row r="2203" spans="1:12" x14ac:dyDescent="0.25">
      <c r="A2203" t="str">
        <f t="shared" si="34"/>
        <v>9001102591022026M02</v>
      </c>
      <c r="B2203">
        <v>51321001</v>
      </c>
      <c r="C2203">
        <v>25</v>
      </c>
      <c r="D2203">
        <v>900110</v>
      </c>
      <c r="E2203">
        <v>259102</v>
      </c>
      <c r="F2203" t="s">
        <v>115</v>
      </c>
      <c r="G2203" t="s">
        <v>64</v>
      </c>
      <c r="H2203">
        <v>0</v>
      </c>
      <c r="I2203">
        <v>0</v>
      </c>
      <c r="J2203">
        <v>0</v>
      </c>
      <c r="K2203">
        <v>0</v>
      </c>
      <c r="L2203">
        <v>0</v>
      </c>
    </row>
    <row r="2204" spans="1:12" x14ac:dyDescent="0.25">
      <c r="A2204" t="str">
        <f t="shared" si="34"/>
        <v>9001102591022026M03</v>
      </c>
      <c r="B2204">
        <v>51321001</v>
      </c>
      <c r="C2204">
        <v>25</v>
      </c>
      <c r="D2204">
        <v>900110</v>
      </c>
      <c r="E2204">
        <v>259102</v>
      </c>
      <c r="F2204" t="s">
        <v>115</v>
      </c>
      <c r="G2204" t="s">
        <v>65</v>
      </c>
      <c r="H2204">
        <v>0</v>
      </c>
      <c r="I2204">
        <v>0</v>
      </c>
      <c r="J2204">
        <v>0</v>
      </c>
      <c r="K2204">
        <v>0</v>
      </c>
      <c r="L2204">
        <v>0</v>
      </c>
    </row>
    <row r="2205" spans="1:12" x14ac:dyDescent="0.25">
      <c r="A2205" t="str">
        <f t="shared" si="34"/>
        <v>9001102591022026M04</v>
      </c>
      <c r="B2205">
        <v>51321001</v>
      </c>
      <c r="C2205">
        <v>25</v>
      </c>
      <c r="D2205">
        <v>900110</v>
      </c>
      <c r="E2205">
        <v>259102</v>
      </c>
      <c r="F2205" t="s">
        <v>115</v>
      </c>
      <c r="G2205" t="s">
        <v>66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x14ac:dyDescent="0.25">
      <c r="A2206" t="str">
        <f t="shared" si="34"/>
        <v>9001102591022026M05</v>
      </c>
      <c r="B2206">
        <v>51321001</v>
      </c>
      <c r="C2206">
        <v>25</v>
      </c>
      <c r="D2206">
        <v>900110</v>
      </c>
      <c r="E2206">
        <v>259102</v>
      </c>
      <c r="F2206" t="s">
        <v>115</v>
      </c>
      <c r="G2206" t="s">
        <v>67</v>
      </c>
      <c r="H2206">
        <v>81524.240000000005</v>
      </c>
      <c r="I2206">
        <v>81524.240000000005</v>
      </c>
      <c r="J2206">
        <v>0</v>
      </c>
      <c r="K2206">
        <v>0</v>
      </c>
      <c r="L2206">
        <v>0</v>
      </c>
    </row>
    <row r="2207" spans="1:12" x14ac:dyDescent="0.25">
      <c r="A2207" t="str">
        <f t="shared" si="34"/>
        <v>9001102591022026M06</v>
      </c>
      <c r="B2207">
        <v>51321001</v>
      </c>
      <c r="C2207">
        <v>25</v>
      </c>
      <c r="D2207">
        <v>900110</v>
      </c>
      <c r="E2207">
        <v>259102</v>
      </c>
      <c r="F2207" t="s">
        <v>115</v>
      </c>
      <c r="G2207" t="s">
        <v>68</v>
      </c>
      <c r="H2207">
        <v>20381.060000000001</v>
      </c>
      <c r="I2207">
        <v>20381.060000000001</v>
      </c>
      <c r="J2207">
        <v>0</v>
      </c>
      <c r="K2207">
        <v>0</v>
      </c>
      <c r="L2207">
        <v>0</v>
      </c>
    </row>
    <row r="2208" spans="1:12" x14ac:dyDescent="0.25">
      <c r="A2208" t="str">
        <f t="shared" si="34"/>
        <v>9001102591022026M07</v>
      </c>
      <c r="B2208">
        <v>51321001</v>
      </c>
      <c r="C2208">
        <v>25</v>
      </c>
      <c r="D2208">
        <v>900110</v>
      </c>
      <c r="E2208">
        <v>259102</v>
      </c>
      <c r="F2208" t="s">
        <v>115</v>
      </c>
      <c r="G2208" t="s">
        <v>69</v>
      </c>
      <c r="H2208">
        <v>0</v>
      </c>
      <c r="I2208">
        <v>0</v>
      </c>
      <c r="J2208">
        <v>0</v>
      </c>
      <c r="K2208">
        <v>0</v>
      </c>
      <c r="L2208">
        <v>0</v>
      </c>
    </row>
    <row r="2209" spans="1:12" x14ac:dyDescent="0.25">
      <c r="A2209" t="str">
        <f t="shared" si="34"/>
        <v>9001102591022026M08</v>
      </c>
      <c r="B2209">
        <v>51321001</v>
      </c>
      <c r="C2209">
        <v>25</v>
      </c>
      <c r="D2209">
        <v>900110</v>
      </c>
      <c r="E2209">
        <v>259102</v>
      </c>
      <c r="F2209" t="s">
        <v>115</v>
      </c>
      <c r="G2209" t="s">
        <v>70</v>
      </c>
      <c r="H2209">
        <v>20381.05</v>
      </c>
      <c r="I2209">
        <v>20381.05</v>
      </c>
      <c r="J2209">
        <v>0</v>
      </c>
      <c r="K2209">
        <v>0</v>
      </c>
      <c r="L2209">
        <v>0</v>
      </c>
    </row>
    <row r="2210" spans="1:12" x14ac:dyDescent="0.25">
      <c r="A2210" t="str">
        <f t="shared" si="34"/>
        <v>9001102591022026M09</v>
      </c>
      <c r="B2210">
        <v>51321001</v>
      </c>
      <c r="C2210">
        <v>25</v>
      </c>
      <c r="D2210">
        <v>900110</v>
      </c>
      <c r="E2210">
        <v>259102</v>
      </c>
      <c r="F2210" t="s">
        <v>115</v>
      </c>
      <c r="G2210" t="s">
        <v>71</v>
      </c>
      <c r="H2210">
        <v>20381.060000000001</v>
      </c>
      <c r="I2210">
        <v>20381.060000000001</v>
      </c>
      <c r="J2210">
        <v>0</v>
      </c>
      <c r="K2210">
        <v>0</v>
      </c>
      <c r="L2210">
        <v>0</v>
      </c>
    </row>
    <row r="2211" spans="1:12" x14ac:dyDescent="0.25">
      <c r="A2211" t="str">
        <f t="shared" si="34"/>
        <v>9001102591022026M10</v>
      </c>
      <c r="B2211">
        <v>51321001</v>
      </c>
      <c r="C2211">
        <v>25</v>
      </c>
      <c r="D2211">
        <v>900110</v>
      </c>
      <c r="E2211">
        <v>259102</v>
      </c>
      <c r="F2211" t="s">
        <v>115</v>
      </c>
      <c r="G2211" t="s">
        <v>72</v>
      </c>
      <c r="H2211">
        <v>40759.18</v>
      </c>
      <c r="I2211">
        <v>0</v>
      </c>
      <c r="J2211">
        <v>40759.18</v>
      </c>
      <c r="K2211">
        <v>0</v>
      </c>
      <c r="L2211">
        <v>0</v>
      </c>
    </row>
    <row r="2212" spans="1:12" x14ac:dyDescent="0.25">
      <c r="A2212" t="str">
        <f t="shared" si="34"/>
        <v>9001102591022026M11</v>
      </c>
      <c r="B2212">
        <v>51321001</v>
      </c>
      <c r="C2212">
        <v>25</v>
      </c>
      <c r="D2212">
        <v>900110</v>
      </c>
      <c r="E2212">
        <v>259102</v>
      </c>
      <c r="F2212" t="s">
        <v>115</v>
      </c>
      <c r="G2212" t="s">
        <v>73</v>
      </c>
      <c r="H2212">
        <v>20382</v>
      </c>
      <c r="I2212">
        <v>0</v>
      </c>
      <c r="J2212">
        <v>20382</v>
      </c>
      <c r="K2212">
        <v>0</v>
      </c>
      <c r="L2212">
        <v>0</v>
      </c>
    </row>
    <row r="2213" spans="1:12" x14ac:dyDescent="0.25">
      <c r="A2213" t="str">
        <f t="shared" si="34"/>
        <v>9001102591022026M12</v>
      </c>
      <c r="B2213">
        <v>51321001</v>
      </c>
      <c r="C2213">
        <v>25</v>
      </c>
      <c r="D2213">
        <v>900110</v>
      </c>
      <c r="E2213">
        <v>259102</v>
      </c>
      <c r="F2213" t="s">
        <v>115</v>
      </c>
      <c r="G2213" t="s">
        <v>74</v>
      </c>
      <c r="H2213">
        <v>40764</v>
      </c>
      <c r="I2213">
        <v>0</v>
      </c>
      <c r="J2213">
        <v>40764</v>
      </c>
      <c r="K2213">
        <v>0</v>
      </c>
      <c r="L2213">
        <v>0</v>
      </c>
    </row>
    <row r="2214" spans="1:12" x14ac:dyDescent="0.25">
      <c r="A2214" t="str">
        <f t="shared" si="34"/>
        <v>9102012591012026M02</v>
      </c>
      <c r="B2214">
        <v>51321001</v>
      </c>
      <c r="C2214">
        <v>25</v>
      </c>
      <c r="D2214">
        <v>910201</v>
      </c>
      <c r="E2214">
        <v>259101</v>
      </c>
      <c r="F2214" t="s">
        <v>115</v>
      </c>
      <c r="G2214" t="s">
        <v>64</v>
      </c>
      <c r="H2214">
        <v>0</v>
      </c>
      <c r="I2214">
        <v>0</v>
      </c>
      <c r="J2214">
        <v>0</v>
      </c>
      <c r="K2214">
        <v>0</v>
      </c>
      <c r="L2214">
        <v>0</v>
      </c>
    </row>
    <row r="2215" spans="1:12" x14ac:dyDescent="0.25">
      <c r="A2215" t="str">
        <f t="shared" si="34"/>
        <v>9102012591012026M03</v>
      </c>
      <c r="B2215">
        <v>51321001</v>
      </c>
      <c r="C2215">
        <v>25</v>
      </c>
      <c r="D2215">
        <v>910201</v>
      </c>
      <c r="E2215">
        <v>259101</v>
      </c>
      <c r="F2215" t="s">
        <v>115</v>
      </c>
      <c r="G2215" t="s">
        <v>65</v>
      </c>
      <c r="H2215">
        <v>0</v>
      </c>
      <c r="I2215">
        <v>0</v>
      </c>
      <c r="J2215">
        <v>0</v>
      </c>
      <c r="K2215">
        <v>0</v>
      </c>
      <c r="L2215">
        <v>0</v>
      </c>
    </row>
    <row r="2216" spans="1:12" x14ac:dyDescent="0.25">
      <c r="A2216" t="str">
        <f t="shared" si="34"/>
        <v>9102012591012026M04</v>
      </c>
      <c r="B2216">
        <v>51321001</v>
      </c>
      <c r="C2216">
        <v>25</v>
      </c>
      <c r="D2216">
        <v>910201</v>
      </c>
      <c r="E2216">
        <v>259101</v>
      </c>
      <c r="F2216" t="s">
        <v>115</v>
      </c>
      <c r="G2216" t="s">
        <v>66</v>
      </c>
      <c r="H2216">
        <v>0</v>
      </c>
      <c r="I2216">
        <v>0</v>
      </c>
      <c r="J2216">
        <v>0</v>
      </c>
      <c r="K2216">
        <v>0</v>
      </c>
      <c r="L2216">
        <v>0</v>
      </c>
    </row>
    <row r="2217" spans="1:12" x14ac:dyDescent="0.25">
      <c r="A2217" t="str">
        <f t="shared" si="34"/>
        <v>9102012591012026M05</v>
      </c>
      <c r="B2217">
        <v>51321001</v>
      </c>
      <c r="C2217">
        <v>25</v>
      </c>
      <c r="D2217">
        <v>910201</v>
      </c>
      <c r="E2217">
        <v>259101</v>
      </c>
      <c r="F2217" t="s">
        <v>115</v>
      </c>
      <c r="G2217" t="s">
        <v>67</v>
      </c>
      <c r="H2217">
        <v>21265.119999999999</v>
      </c>
      <c r="I2217">
        <v>21265.119999999999</v>
      </c>
      <c r="J2217">
        <v>0</v>
      </c>
      <c r="K2217">
        <v>0</v>
      </c>
      <c r="L2217">
        <v>0</v>
      </c>
    </row>
    <row r="2218" spans="1:12" x14ac:dyDescent="0.25">
      <c r="A2218" t="str">
        <f t="shared" si="34"/>
        <v>9102012591012026M06</v>
      </c>
      <c r="B2218">
        <v>51321001</v>
      </c>
      <c r="C2218">
        <v>25</v>
      </c>
      <c r="D2218">
        <v>910201</v>
      </c>
      <c r="E2218">
        <v>259101</v>
      </c>
      <c r="F2218" t="s">
        <v>115</v>
      </c>
      <c r="G2218" t="s">
        <v>68</v>
      </c>
      <c r="H2218">
        <v>5316.28</v>
      </c>
      <c r="I2218">
        <v>5316.28</v>
      </c>
      <c r="J2218">
        <v>0</v>
      </c>
      <c r="K2218">
        <v>0</v>
      </c>
      <c r="L2218">
        <v>0</v>
      </c>
    </row>
    <row r="2219" spans="1:12" x14ac:dyDescent="0.25">
      <c r="A2219" t="str">
        <f t="shared" si="34"/>
        <v>9102012591012026M07</v>
      </c>
      <c r="B2219">
        <v>51321001</v>
      </c>
      <c r="C2219">
        <v>25</v>
      </c>
      <c r="D2219">
        <v>910201</v>
      </c>
      <c r="E2219">
        <v>259101</v>
      </c>
      <c r="F2219" t="s">
        <v>115</v>
      </c>
      <c r="G2219" t="s">
        <v>69</v>
      </c>
      <c r="H2219">
        <v>5316.28</v>
      </c>
      <c r="I2219">
        <v>5316.28</v>
      </c>
      <c r="J2219">
        <v>0</v>
      </c>
      <c r="K2219">
        <v>0</v>
      </c>
      <c r="L2219">
        <v>0</v>
      </c>
    </row>
    <row r="2220" spans="1:12" x14ac:dyDescent="0.25">
      <c r="A2220" t="str">
        <f t="shared" si="34"/>
        <v>9102012591012026M08</v>
      </c>
      <c r="B2220">
        <v>51321001</v>
      </c>
      <c r="C2220">
        <v>25</v>
      </c>
      <c r="D2220">
        <v>910201</v>
      </c>
      <c r="E2220">
        <v>259101</v>
      </c>
      <c r="F2220" t="s">
        <v>115</v>
      </c>
      <c r="G2220" t="s">
        <v>70</v>
      </c>
      <c r="H2220">
        <v>5316.28</v>
      </c>
      <c r="I2220">
        <v>5316.28</v>
      </c>
      <c r="J2220">
        <v>0</v>
      </c>
      <c r="K2220">
        <v>0</v>
      </c>
      <c r="L2220">
        <v>0</v>
      </c>
    </row>
    <row r="2221" spans="1:12" x14ac:dyDescent="0.25">
      <c r="A2221" t="str">
        <f t="shared" si="34"/>
        <v>9102012591012026M09</v>
      </c>
      <c r="B2221">
        <v>51321001</v>
      </c>
      <c r="C2221">
        <v>25</v>
      </c>
      <c r="D2221">
        <v>910201</v>
      </c>
      <c r="E2221">
        <v>259101</v>
      </c>
      <c r="F2221" t="s">
        <v>115</v>
      </c>
      <c r="G2221" t="s">
        <v>71</v>
      </c>
      <c r="H2221">
        <v>5316.28</v>
      </c>
      <c r="I2221">
        <v>5316.28</v>
      </c>
      <c r="J2221">
        <v>0</v>
      </c>
      <c r="K2221">
        <v>0</v>
      </c>
      <c r="L2221">
        <v>0</v>
      </c>
    </row>
    <row r="2222" spans="1:12" x14ac:dyDescent="0.25">
      <c r="A2222" t="str">
        <f t="shared" si="34"/>
        <v>9102012591012026M10</v>
      </c>
      <c r="B2222">
        <v>51321001</v>
      </c>
      <c r="C2222">
        <v>25</v>
      </c>
      <c r="D2222">
        <v>910201</v>
      </c>
      <c r="E2222">
        <v>259101</v>
      </c>
      <c r="F2222" t="s">
        <v>115</v>
      </c>
      <c r="G2222" t="s">
        <v>72</v>
      </c>
      <c r="H2222">
        <v>5322.76</v>
      </c>
      <c r="I2222">
        <v>5316.28</v>
      </c>
      <c r="J2222">
        <v>6.48</v>
      </c>
      <c r="K2222">
        <v>0</v>
      </c>
      <c r="L2222">
        <v>0</v>
      </c>
    </row>
    <row r="2223" spans="1:12" x14ac:dyDescent="0.25">
      <c r="A2223" t="str">
        <f t="shared" si="34"/>
        <v>9102012591012026M11</v>
      </c>
      <c r="B2223">
        <v>51321001</v>
      </c>
      <c r="C2223">
        <v>25</v>
      </c>
      <c r="D2223">
        <v>910201</v>
      </c>
      <c r="E2223">
        <v>259101</v>
      </c>
      <c r="F2223" t="s">
        <v>115</v>
      </c>
      <c r="G2223" t="s">
        <v>73</v>
      </c>
      <c r="H2223">
        <v>5317</v>
      </c>
      <c r="I2223">
        <v>0</v>
      </c>
      <c r="J2223">
        <v>5317</v>
      </c>
      <c r="K2223">
        <v>0</v>
      </c>
      <c r="L2223">
        <v>0</v>
      </c>
    </row>
    <row r="2224" spans="1:12" x14ac:dyDescent="0.25">
      <c r="A2224" t="str">
        <f t="shared" si="34"/>
        <v>9102012591012026M12</v>
      </c>
      <c r="B2224">
        <v>51321001</v>
      </c>
      <c r="C2224">
        <v>25</v>
      </c>
      <c r="D2224">
        <v>910201</v>
      </c>
      <c r="E2224">
        <v>259101</v>
      </c>
      <c r="F2224" t="s">
        <v>115</v>
      </c>
      <c r="G2224" t="s">
        <v>74</v>
      </c>
      <c r="H2224">
        <v>10626</v>
      </c>
      <c r="I2224">
        <v>0</v>
      </c>
      <c r="J2224">
        <v>10626</v>
      </c>
      <c r="K2224">
        <v>0</v>
      </c>
      <c r="L2224">
        <v>0</v>
      </c>
    </row>
    <row r="2225" spans="1:12" x14ac:dyDescent="0.25">
      <c r="A2225" t="str">
        <f t="shared" si="34"/>
        <v>7310026P9012026M02</v>
      </c>
      <c r="B2225">
        <v>51321001</v>
      </c>
      <c r="C2225">
        <v>26</v>
      </c>
      <c r="D2225">
        <v>73100</v>
      </c>
      <c r="E2225" t="s">
        <v>86</v>
      </c>
      <c r="F2225" t="s">
        <v>115</v>
      </c>
      <c r="G2225" t="s">
        <v>64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x14ac:dyDescent="0.25">
      <c r="A2226" t="str">
        <f t="shared" si="34"/>
        <v>7310026P9012026M03</v>
      </c>
      <c r="B2226">
        <v>51321001</v>
      </c>
      <c r="C2226">
        <v>26</v>
      </c>
      <c r="D2226">
        <v>73100</v>
      </c>
      <c r="E2226" t="s">
        <v>86</v>
      </c>
      <c r="F2226" t="s">
        <v>115</v>
      </c>
      <c r="G2226" t="s">
        <v>65</v>
      </c>
      <c r="H2226">
        <v>31562.92</v>
      </c>
      <c r="I2226">
        <v>31562.92</v>
      </c>
      <c r="J2226">
        <v>0</v>
      </c>
      <c r="K2226">
        <v>0</v>
      </c>
      <c r="L2226">
        <v>0</v>
      </c>
    </row>
    <row r="2227" spans="1:12" x14ac:dyDescent="0.25">
      <c r="A2227" t="str">
        <f t="shared" si="34"/>
        <v>7310026P9012026M04</v>
      </c>
      <c r="B2227">
        <v>51321001</v>
      </c>
      <c r="C2227">
        <v>26</v>
      </c>
      <c r="D2227">
        <v>73100</v>
      </c>
      <c r="E2227" t="s">
        <v>86</v>
      </c>
      <c r="F2227" t="s">
        <v>115</v>
      </c>
      <c r="G2227" t="s">
        <v>66</v>
      </c>
      <c r="H2227">
        <v>15781.46</v>
      </c>
      <c r="I2227">
        <v>15781.46</v>
      </c>
      <c r="J2227">
        <v>0</v>
      </c>
      <c r="K2227">
        <v>0</v>
      </c>
      <c r="L2227">
        <v>0</v>
      </c>
    </row>
    <row r="2228" spans="1:12" x14ac:dyDescent="0.25">
      <c r="A2228" t="str">
        <f t="shared" si="34"/>
        <v>7310026P9012026M05</v>
      </c>
      <c r="B2228">
        <v>51321001</v>
      </c>
      <c r="C2228">
        <v>26</v>
      </c>
      <c r="D2228">
        <v>73100</v>
      </c>
      <c r="E2228" t="s">
        <v>86</v>
      </c>
      <c r="F2228" t="s">
        <v>115</v>
      </c>
      <c r="G2228" t="s">
        <v>67</v>
      </c>
      <c r="H2228">
        <v>15781.46</v>
      </c>
      <c r="I2228">
        <v>15781.46</v>
      </c>
      <c r="J2228">
        <v>0</v>
      </c>
      <c r="K2228">
        <v>0</v>
      </c>
      <c r="L2228">
        <v>0</v>
      </c>
    </row>
    <row r="2229" spans="1:12" x14ac:dyDescent="0.25">
      <c r="A2229" t="str">
        <f t="shared" si="34"/>
        <v>7310026P9012026M06</v>
      </c>
      <c r="B2229">
        <v>51321001</v>
      </c>
      <c r="C2229">
        <v>26</v>
      </c>
      <c r="D2229">
        <v>73100</v>
      </c>
      <c r="E2229" t="s">
        <v>86</v>
      </c>
      <c r="F2229" t="s">
        <v>115</v>
      </c>
      <c r="G2229" t="s">
        <v>68</v>
      </c>
      <c r="H2229">
        <v>0</v>
      </c>
      <c r="I2229">
        <v>0</v>
      </c>
      <c r="J2229">
        <v>0</v>
      </c>
      <c r="K2229">
        <v>0</v>
      </c>
      <c r="L2229">
        <v>0</v>
      </c>
    </row>
    <row r="2230" spans="1:12" x14ac:dyDescent="0.25">
      <c r="A2230" t="str">
        <f t="shared" si="34"/>
        <v>7310026P9012026M07</v>
      </c>
      <c r="B2230">
        <v>51321001</v>
      </c>
      <c r="C2230">
        <v>26</v>
      </c>
      <c r="D2230">
        <v>73100</v>
      </c>
      <c r="E2230" t="s">
        <v>86</v>
      </c>
      <c r="F2230" t="s">
        <v>115</v>
      </c>
      <c r="G2230" t="s">
        <v>69</v>
      </c>
      <c r="H2230">
        <v>31562.92</v>
      </c>
      <c r="I2230">
        <v>31562.92</v>
      </c>
      <c r="J2230">
        <v>0</v>
      </c>
      <c r="K2230">
        <v>0</v>
      </c>
      <c r="L2230">
        <v>0</v>
      </c>
    </row>
    <row r="2231" spans="1:12" x14ac:dyDescent="0.25">
      <c r="A2231" t="str">
        <f t="shared" si="34"/>
        <v>7310026P9012026M08</v>
      </c>
      <c r="B2231">
        <v>51321001</v>
      </c>
      <c r="C2231">
        <v>26</v>
      </c>
      <c r="D2231">
        <v>73100</v>
      </c>
      <c r="E2231" t="s">
        <v>86</v>
      </c>
      <c r="F2231" t="s">
        <v>115</v>
      </c>
      <c r="G2231" t="s">
        <v>70</v>
      </c>
      <c r="H2231">
        <v>15781.46</v>
      </c>
      <c r="I2231">
        <v>15781.46</v>
      </c>
      <c r="J2231">
        <v>0</v>
      </c>
      <c r="K2231">
        <v>0</v>
      </c>
      <c r="L2231">
        <v>0</v>
      </c>
    </row>
    <row r="2232" spans="1:12" x14ac:dyDescent="0.25">
      <c r="A2232" t="str">
        <f t="shared" si="34"/>
        <v>7310026P9012026M09</v>
      </c>
      <c r="B2232">
        <v>51321001</v>
      </c>
      <c r="C2232">
        <v>26</v>
      </c>
      <c r="D2232">
        <v>73100</v>
      </c>
      <c r="E2232" t="s">
        <v>86</v>
      </c>
      <c r="F2232" t="s">
        <v>115</v>
      </c>
      <c r="G2232" t="s">
        <v>71</v>
      </c>
      <c r="H2232">
        <v>15781.46</v>
      </c>
      <c r="I2232">
        <v>15781.46</v>
      </c>
      <c r="J2232">
        <v>0</v>
      </c>
      <c r="K2232">
        <v>0</v>
      </c>
      <c r="L2232">
        <v>0</v>
      </c>
    </row>
    <row r="2233" spans="1:12" x14ac:dyDescent="0.25">
      <c r="A2233" t="str">
        <f t="shared" si="34"/>
        <v>7310026P9012026M10</v>
      </c>
      <c r="B2233">
        <v>51321001</v>
      </c>
      <c r="C2233">
        <v>26</v>
      </c>
      <c r="D2233">
        <v>73100</v>
      </c>
      <c r="E2233" t="s">
        <v>86</v>
      </c>
      <c r="F2233" t="s">
        <v>115</v>
      </c>
      <c r="G2233" t="s">
        <v>72</v>
      </c>
      <c r="H2233">
        <v>15786.32</v>
      </c>
      <c r="I2233">
        <v>15781.46</v>
      </c>
      <c r="J2233">
        <v>4.8600000000000003</v>
      </c>
      <c r="K2233">
        <v>0</v>
      </c>
      <c r="L2233">
        <v>0</v>
      </c>
    </row>
    <row r="2234" spans="1:12" x14ac:dyDescent="0.25">
      <c r="A2234" t="str">
        <f t="shared" si="34"/>
        <v>7310026P9012026M11</v>
      </c>
      <c r="B2234">
        <v>51321001</v>
      </c>
      <c r="C2234">
        <v>26</v>
      </c>
      <c r="D2234">
        <v>73100</v>
      </c>
      <c r="E2234" t="s">
        <v>86</v>
      </c>
      <c r="F2234" t="s">
        <v>115</v>
      </c>
      <c r="G2234" t="s">
        <v>73</v>
      </c>
      <c r="H2234">
        <v>15782</v>
      </c>
      <c r="I2234">
        <v>0</v>
      </c>
      <c r="J2234">
        <v>15782</v>
      </c>
      <c r="K2234">
        <v>0</v>
      </c>
      <c r="L2234">
        <v>0</v>
      </c>
    </row>
    <row r="2235" spans="1:12" x14ac:dyDescent="0.25">
      <c r="A2235" t="str">
        <f t="shared" si="34"/>
        <v>7310026P9012026M12</v>
      </c>
      <c r="B2235">
        <v>51321001</v>
      </c>
      <c r="C2235">
        <v>26</v>
      </c>
      <c r="D2235">
        <v>73100</v>
      </c>
      <c r="E2235" t="s">
        <v>86</v>
      </c>
      <c r="F2235" t="s">
        <v>115</v>
      </c>
      <c r="G2235" t="s">
        <v>74</v>
      </c>
      <c r="H2235">
        <v>31558</v>
      </c>
      <c r="I2235">
        <v>0</v>
      </c>
      <c r="J2235">
        <v>31558</v>
      </c>
      <c r="K2235">
        <v>0</v>
      </c>
      <c r="L2235">
        <v>0</v>
      </c>
    </row>
    <row r="2236" spans="1:12" x14ac:dyDescent="0.25">
      <c r="A2236" t="str">
        <f t="shared" si="34"/>
        <v>1401002690012026M02</v>
      </c>
      <c r="B2236">
        <v>51321001</v>
      </c>
      <c r="C2236">
        <v>26</v>
      </c>
      <c r="D2236">
        <v>140100</v>
      </c>
      <c r="E2236">
        <v>269001</v>
      </c>
      <c r="F2236" t="s">
        <v>115</v>
      </c>
      <c r="G2236" t="s">
        <v>64</v>
      </c>
      <c r="H2236">
        <v>0</v>
      </c>
      <c r="I2236">
        <v>0</v>
      </c>
      <c r="J2236">
        <v>0</v>
      </c>
      <c r="K2236">
        <v>0</v>
      </c>
      <c r="L2236">
        <v>0</v>
      </c>
    </row>
    <row r="2237" spans="1:12" x14ac:dyDescent="0.25">
      <c r="A2237" t="str">
        <f t="shared" si="34"/>
        <v>1401002690012026M03</v>
      </c>
      <c r="B2237">
        <v>51321001</v>
      </c>
      <c r="C2237">
        <v>26</v>
      </c>
      <c r="D2237">
        <v>140100</v>
      </c>
      <c r="E2237">
        <v>269001</v>
      </c>
      <c r="F2237" t="s">
        <v>115</v>
      </c>
      <c r="G2237" t="s">
        <v>65</v>
      </c>
      <c r="H2237">
        <v>92799.66</v>
      </c>
      <c r="I2237">
        <v>92799.66</v>
      </c>
      <c r="J2237">
        <v>0</v>
      </c>
      <c r="K2237">
        <v>0</v>
      </c>
      <c r="L2237">
        <v>0</v>
      </c>
    </row>
    <row r="2238" spans="1:12" x14ac:dyDescent="0.25">
      <c r="A2238" t="str">
        <f t="shared" si="34"/>
        <v>1401002690012026M04</v>
      </c>
      <c r="B2238">
        <v>51321001</v>
      </c>
      <c r="C2238">
        <v>26</v>
      </c>
      <c r="D2238">
        <v>140100</v>
      </c>
      <c r="E2238">
        <v>269001</v>
      </c>
      <c r="F2238" t="s">
        <v>115</v>
      </c>
      <c r="G2238" t="s">
        <v>66</v>
      </c>
      <c r="H2238">
        <v>46399.83</v>
      </c>
      <c r="I2238">
        <v>46399.83</v>
      </c>
      <c r="J2238">
        <v>0</v>
      </c>
      <c r="K2238">
        <v>0</v>
      </c>
      <c r="L2238">
        <v>0</v>
      </c>
    </row>
    <row r="2239" spans="1:12" x14ac:dyDescent="0.25">
      <c r="A2239" t="str">
        <f t="shared" si="34"/>
        <v>1401002690012026M05</v>
      </c>
      <c r="B2239">
        <v>51321001</v>
      </c>
      <c r="C2239">
        <v>26</v>
      </c>
      <c r="D2239">
        <v>140100</v>
      </c>
      <c r="E2239">
        <v>269001</v>
      </c>
      <c r="F2239" t="s">
        <v>115</v>
      </c>
      <c r="G2239" t="s">
        <v>67</v>
      </c>
      <c r="H2239">
        <v>46399.83</v>
      </c>
      <c r="I2239">
        <v>46399.83</v>
      </c>
      <c r="J2239">
        <v>0</v>
      </c>
      <c r="K2239">
        <v>0</v>
      </c>
      <c r="L2239">
        <v>0</v>
      </c>
    </row>
    <row r="2240" spans="1:12" x14ac:dyDescent="0.25">
      <c r="A2240" t="str">
        <f t="shared" si="34"/>
        <v>1401002690012026M06</v>
      </c>
      <c r="B2240">
        <v>51321001</v>
      </c>
      <c r="C2240">
        <v>26</v>
      </c>
      <c r="D2240">
        <v>140100</v>
      </c>
      <c r="E2240">
        <v>269001</v>
      </c>
      <c r="F2240" t="s">
        <v>115</v>
      </c>
      <c r="G2240" t="s">
        <v>68</v>
      </c>
      <c r="H2240">
        <v>46399.83</v>
      </c>
      <c r="I2240">
        <v>46399.83</v>
      </c>
      <c r="J2240">
        <v>0</v>
      </c>
      <c r="K2240">
        <v>0</v>
      </c>
      <c r="L2240">
        <v>0</v>
      </c>
    </row>
    <row r="2241" spans="1:12" x14ac:dyDescent="0.25">
      <c r="A2241" t="str">
        <f t="shared" si="34"/>
        <v>1401002690012026M07</v>
      </c>
      <c r="B2241">
        <v>51321001</v>
      </c>
      <c r="C2241">
        <v>26</v>
      </c>
      <c r="D2241">
        <v>140100</v>
      </c>
      <c r="E2241">
        <v>269001</v>
      </c>
      <c r="F2241" t="s">
        <v>115</v>
      </c>
      <c r="G2241" t="s">
        <v>69</v>
      </c>
      <c r="H2241">
        <v>46399.83</v>
      </c>
      <c r="I2241">
        <v>46399.83</v>
      </c>
      <c r="J2241">
        <v>0</v>
      </c>
      <c r="K2241">
        <v>0</v>
      </c>
      <c r="L2241">
        <v>0</v>
      </c>
    </row>
    <row r="2242" spans="1:12" x14ac:dyDescent="0.25">
      <c r="A2242" t="str">
        <f t="shared" si="34"/>
        <v>1401002690012026M08</v>
      </c>
      <c r="B2242">
        <v>51321001</v>
      </c>
      <c r="C2242">
        <v>26</v>
      </c>
      <c r="D2242">
        <v>140100</v>
      </c>
      <c r="E2242">
        <v>269001</v>
      </c>
      <c r="F2242" t="s">
        <v>115</v>
      </c>
      <c r="G2242" t="s">
        <v>70</v>
      </c>
      <c r="H2242">
        <v>46399.83</v>
      </c>
      <c r="I2242">
        <v>46399.83</v>
      </c>
      <c r="J2242">
        <v>0</v>
      </c>
      <c r="K2242">
        <v>0</v>
      </c>
      <c r="L2242">
        <v>0</v>
      </c>
    </row>
    <row r="2243" spans="1:12" x14ac:dyDescent="0.25">
      <c r="A2243" t="str">
        <f t="shared" si="34"/>
        <v>1401002690012026M09</v>
      </c>
      <c r="B2243">
        <v>51321001</v>
      </c>
      <c r="C2243">
        <v>26</v>
      </c>
      <c r="D2243">
        <v>140100</v>
      </c>
      <c r="E2243">
        <v>269001</v>
      </c>
      <c r="F2243" t="s">
        <v>115</v>
      </c>
      <c r="G2243" t="s">
        <v>71</v>
      </c>
      <c r="H2243">
        <v>46399.83</v>
      </c>
      <c r="I2243">
        <v>46399.83</v>
      </c>
      <c r="J2243">
        <v>0</v>
      </c>
      <c r="K2243">
        <v>0</v>
      </c>
      <c r="L2243">
        <v>0</v>
      </c>
    </row>
    <row r="2244" spans="1:12" x14ac:dyDescent="0.25">
      <c r="A2244" t="str">
        <f t="shared" si="34"/>
        <v>1401002690012026M10</v>
      </c>
      <c r="B2244">
        <v>51321001</v>
      </c>
      <c r="C2244">
        <v>26</v>
      </c>
      <c r="D2244">
        <v>140100</v>
      </c>
      <c r="E2244">
        <v>269001</v>
      </c>
      <c r="F2244" t="s">
        <v>115</v>
      </c>
      <c r="G2244" t="s">
        <v>72</v>
      </c>
      <c r="H2244">
        <v>46401.36</v>
      </c>
      <c r="I2244">
        <v>46399.83</v>
      </c>
      <c r="J2244">
        <v>1.53</v>
      </c>
      <c r="K2244">
        <v>0</v>
      </c>
      <c r="L2244">
        <v>0</v>
      </c>
    </row>
    <row r="2245" spans="1:12" x14ac:dyDescent="0.25">
      <c r="A2245" t="str">
        <f t="shared" si="34"/>
        <v>1401002690012026M11</v>
      </c>
      <c r="B2245">
        <v>51321001</v>
      </c>
      <c r="C2245">
        <v>26</v>
      </c>
      <c r="D2245">
        <v>140100</v>
      </c>
      <c r="E2245">
        <v>269001</v>
      </c>
      <c r="F2245" t="s">
        <v>115</v>
      </c>
      <c r="G2245" t="s">
        <v>73</v>
      </c>
      <c r="H2245">
        <v>46400</v>
      </c>
      <c r="I2245">
        <v>0</v>
      </c>
      <c r="J2245">
        <v>46400</v>
      </c>
      <c r="K2245">
        <v>0</v>
      </c>
      <c r="L2245">
        <v>0</v>
      </c>
    </row>
    <row r="2246" spans="1:12" x14ac:dyDescent="0.25">
      <c r="A2246" t="str">
        <f t="shared" si="34"/>
        <v>1401002690012026M12</v>
      </c>
      <c r="B2246">
        <v>51321001</v>
      </c>
      <c r="C2246">
        <v>26</v>
      </c>
      <c r="D2246">
        <v>140100</v>
      </c>
      <c r="E2246">
        <v>269001</v>
      </c>
      <c r="F2246" t="s">
        <v>115</v>
      </c>
      <c r="G2246" t="s">
        <v>74</v>
      </c>
      <c r="H2246">
        <v>92800</v>
      </c>
      <c r="I2246">
        <v>0</v>
      </c>
      <c r="J2246">
        <v>92800</v>
      </c>
      <c r="K2246">
        <v>0</v>
      </c>
      <c r="L2246">
        <v>0</v>
      </c>
    </row>
    <row r="2247" spans="1:12" x14ac:dyDescent="0.25">
      <c r="A2247" t="str">
        <f t="shared" si="34"/>
        <v>1509002680042026M02</v>
      </c>
      <c r="B2247">
        <v>51321001</v>
      </c>
      <c r="C2247">
        <v>26</v>
      </c>
      <c r="D2247">
        <v>150900</v>
      </c>
      <c r="E2247">
        <v>268004</v>
      </c>
      <c r="F2247" t="s">
        <v>115</v>
      </c>
      <c r="G2247" t="s">
        <v>64</v>
      </c>
      <c r="H2247">
        <v>0</v>
      </c>
      <c r="I2247">
        <v>0</v>
      </c>
      <c r="J2247">
        <v>0</v>
      </c>
      <c r="K2247">
        <v>0</v>
      </c>
      <c r="L2247">
        <v>0</v>
      </c>
    </row>
    <row r="2248" spans="1:12" x14ac:dyDescent="0.25">
      <c r="A2248" t="str">
        <f t="shared" si="34"/>
        <v>1509002680042026M03</v>
      </c>
      <c r="B2248">
        <v>51321001</v>
      </c>
      <c r="C2248">
        <v>26</v>
      </c>
      <c r="D2248">
        <v>150900</v>
      </c>
      <c r="E2248">
        <v>268004</v>
      </c>
      <c r="F2248" t="s">
        <v>115</v>
      </c>
      <c r="G2248" t="s">
        <v>65</v>
      </c>
      <c r="H2248">
        <v>329746.76</v>
      </c>
      <c r="I2248">
        <v>329746.76</v>
      </c>
      <c r="J2248">
        <v>0</v>
      </c>
      <c r="K2248">
        <v>0</v>
      </c>
      <c r="L2248">
        <v>0</v>
      </c>
    </row>
    <row r="2249" spans="1:12" x14ac:dyDescent="0.25">
      <c r="A2249" t="str">
        <f t="shared" si="34"/>
        <v>1509002680042026M04</v>
      </c>
      <c r="B2249">
        <v>51321001</v>
      </c>
      <c r="C2249">
        <v>26</v>
      </c>
      <c r="D2249">
        <v>150900</v>
      </c>
      <c r="E2249">
        <v>268004</v>
      </c>
      <c r="F2249" t="s">
        <v>115</v>
      </c>
      <c r="G2249" t="s">
        <v>66</v>
      </c>
      <c r="H2249">
        <v>164873.35</v>
      </c>
      <c r="I2249">
        <v>164873.35</v>
      </c>
      <c r="J2249">
        <v>0</v>
      </c>
      <c r="K2249">
        <v>0</v>
      </c>
      <c r="L2249">
        <v>0</v>
      </c>
    </row>
    <row r="2250" spans="1:12" x14ac:dyDescent="0.25">
      <c r="A2250" t="str">
        <f t="shared" si="34"/>
        <v>1509002680042026M05</v>
      </c>
      <c r="B2250">
        <v>51321001</v>
      </c>
      <c r="C2250">
        <v>26</v>
      </c>
      <c r="D2250">
        <v>150900</v>
      </c>
      <c r="E2250">
        <v>268004</v>
      </c>
      <c r="F2250" t="s">
        <v>115</v>
      </c>
      <c r="G2250" t="s">
        <v>67</v>
      </c>
      <c r="H2250">
        <v>164873.41</v>
      </c>
      <c r="I2250">
        <v>164873.41</v>
      </c>
      <c r="J2250">
        <v>0</v>
      </c>
      <c r="K2250">
        <v>0</v>
      </c>
      <c r="L2250">
        <v>0</v>
      </c>
    </row>
    <row r="2251" spans="1:12" x14ac:dyDescent="0.25">
      <c r="A2251" t="str">
        <f t="shared" ref="A2251:A2314" si="35">D2251&amp;E2251&amp;G2251</f>
        <v>1509002680042026M06</v>
      </c>
      <c r="B2251">
        <v>51321001</v>
      </c>
      <c r="C2251">
        <v>26</v>
      </c>
      <c r="D2251">
        <v>150900</v>
      </c>
      <c r="E2251">
        <v>268004</v>
      </c>
      <c r="F2251" t="s">
        <v>115</v>
      </c>
      <c r="G2251" t="s">
        <v>68</v>
      </c>
      <c r="H2251">
        <v>164873.35</v>
      </c>
      <c r="I2251">
        <v>164873.35</v>
      </c>
      <c r="J2251">
        <v>0</v>
      </c>
      <c r="K2251">
        <v>0</v>
      </c>
      <c r="L2251">
        <v>0</v>
      </c>
    </row>
    <row r="2252" spans="1:12" x14ac:dyDescent="0.25">
      <c r="A2252" t="str">
        <f t="shared" si="35"/>
        <v>1509002680042026M07</v>
      </c>
      <c r="B2252">
        <v>51321001</v>
      </c>
      <c r="C2252">
        <v>26</v>
      </c>
      <c r="D2252">
        <v>150900</v>
      </c>
      <c r="E2252">
        <v>268004</v>
      </c>
      <c r="F2252" t="s">
        <v>115</v>
      </c>
      <c r="G2252" t="s">
        <v>69</v>
      </c>
      <c r="H2252">
        <v>164873.41</v>
      </c>
      <c r="I2252">
        <v>164873.41</v>
      </c>
      <c r="J2252">
        <v>0</v>
      </c>
      <c r="K2252">
        <v>0</v>
      </c>
      <c r="L2252">
        <v>0</v>
      </c>
    </row>
    <row r="2253" spans="1:12" x14ac:dyDescent="0.25">
      <c r="A2253" t="str">
        <f t="shared" si="35"/>
        <v>1509002680042026M08</v>
      </c>
      <c r="B2253">
        <v>51321001</v>
      </c>
      <c r="C2253">
        <v>26</v>
      </c>
      <c r="D2253">
        <v>150900</v>
      </c>
      <c r="E2253">
        <v>268004</v>
      </c>
      <c r="F2253" t="s">
        <v>115</v>
      </c>
      <c r="G2253" t="s">
        <v>70</v>
      </c>
      <c r="H2253">
        <v>164873.41</v>
      </c>
      <c r="I2253">
        <v>164873.41</v>
      </c>
      <c r="J2253">
        <v>0</v>
      </c>
      <c r="K2253">
        <v>0</v>
      </c>
      <c r="L2253">
        <v>0</v>
      </c>
    </row>
    <row r="2254" spans="1:12" x14ac:dyDescent="0.25">
      <c r="A2254" t="str">
        <f t="shared" si="35"/>
        <v>1509002680042026M09</v>
      </c>
      <c r="B2254">
        <v>51321001</v>
      </c>
      <c r="C2254">
        <v>26</v>
      </c>
      <c r="D2254">
        <v>150900</v>
      </c>
      <c r="E2254">
        <v>268004</v>
      </c>
      <c r="F2254" t="s">
        <v>115</v>
      </c>
      <c r="G2254" t="s">
        <v>71</v>
      </c>
      <c r="H2254">
        <v>164873.41</v>
      </c>
      <c r="I2254">
        <v>164873.41</v>
      </c>
      <c r="J2254">
        <v>0</v>
      </c>
      <c r="K2254">
        <v>0</v>
      </c>
      <c r="L2254">
        <v>0</v>
      </c>
    </row>
    <row r="2255" spans="1:12" x14ac:dyDescent="0.25">
      <c r="A2255" t="str">
        <f t="shared" si="35"/>
        <v>1509002680042026M10</v>
      </c>
      <c r="B2255">
        <v>51321001</v>
      </c>
      <c r="C2255">
        <v>26</v>
      </c>
      <c r="D2255">
        <v>150900</v>
      </c>
      <c r="E2255">
        <v>268004</v>
      </c>
      <c r="F2255" t="s">
        <v>115</v>
      </c>
      <c r="G2255" t="s">
        <v>72</v>
      </c>
      <c r="H2255">
        <v>164878.9</v>
      </c>
      <c r="I2255">
        <v>164873.41</v>
      </c>
      <c r="J2255">
        <v>1.26</v>
      </c>
      <c r="K2255">
        <v>0</v>
      </c>
      <c r="L2255">
        <v>4.2300000000000004</v>
      </c>
    </row>
    <row r="2256" spans="1:12" x14ac:dyDescent="0.25">
      <c r="A2256" t="str">
        <f t="shared" si="35"/>
        <v>1509002680042026M11</v>
      </c>
      <c r="B2256">
        <v>51321001</v>
      </c>
      <c r="C2256">
        <v>26</v>
      </c>
      <c r="D2256">
        <v>150900</v>
      </c>
      <c r="E2256">
        <v>268004</v>
      </c>
      <c r="F2256" t="s">
        <v>115</v>
      </c>
      <c r="G2256" t="s">
        <v>73</v>
      </c>
      <c r="H2256">
        <v>164874</v>
      </c>
      <c r="I2256">
        <v>0</v>
      </c>
      <c r="J2256">
        <v>164873.53</v>
      </c>
      <c r="K2256">
        <v>0</v>
      </c>
      <c r="L2256">
        <v>0.47</v>
      </c>
    </row>
    <row r="2257" spans="1:12" x14ac:dyDescent="0.25">
      <c r="A2257" t="str">
        <f t="shared" si="35"/>
        <v>1509002680042026M12</v>
      </c>
      <c r="B2257">
        <v>51321001</v>
      </c>
      <c r="C2257">
        <v>26</v>
      </c>
      <c r="D2257">
        <v>150900</v>
      </c>
      <c r="E2257">
        <v>268004</v>
      </c>
      <c r="F2257" t="s">
        <v>115</v>
      </c>
      <c r="G2257" t="s">
        <v>74</v>
      </c>
      <c r="H2257">
        <v>329748</v>
      </c>
      <c r="I2257">
        <v>0</v>
      </c>
      <c r="J2257">
        <v>329747.06</v>
      </c>
      <c r="K2257">
        <v>0</v>
      </c>
      <c r="L2257">
        <v>0.94</v>
      </c>
    </row>
    <row r="2258" spans="1:12" x14ac:dyDescent="0.25">
      <c r="A2258" t="str">
        <f t="shared" si="35"/>
        <v>1509042681012026M02</v>
      </c>
      <c r="B2258">
        <v>51321001</v>
      </c>
      <c r="C2258">
        <v>26</v>
      </c>
      <c r="D2258">
        <v>150904</v>
      </c>
      <c r="E2258">
        <v>268101</v>
      </c>
      <c r="F2258" t="s">
        <v>115</v>
      </c>
      <c r="G2258" t="s">
        <v>64</v>
      </c>
      <c r="H2258">
        <v>0</v>
      </c>
      <c r="I2258">
        <v>0</v>
      </c>
      <c r="J2258">
        <v>0</v>
      </c>
      <c r="K2258">
        <v>0</v>
      </c>
      <c r="L2258">
        <v>0</v>
      </c>
    </row>
    <row r="2259" spans="1:12" x14ac:dyDescent="0.25">
      <c r="A2259" t="str">
        <f t="shared" si="35"/>
        <v>1509042681012026M03</v>
      </c>
      <c r="B2259">
        <v>51321001</v>
      </c>
      <c r="C2259">
        <v>26</v>
      </c>
      <c r="D2259">
        <v>150904</v>
      </c>
      <c r="E2259">
        <v>268101</v>
      </c>
      <c r="F2259" t="s">
        <v>115</v>
      </c>
      <c r="G2259" t="s">
        <v>65</v>
      </c>
      <c r="H2259">
        <v>15504.66</v>
      </c>
      <c r="I2259">
        <v>15504.66</v>
      </c>
      <c r="J2259">
        <v>0</v>
      </c>
      <c r="K2259">
        <v>0</v>
      </c>
      <c r="L2259">
        <v>0</v>
      </c>
    </row>
    <row r="2260" spans="1:12" x14ac:dyDescent="0.25">
      <c r="A2260" t="str">
        <f t="shared" si="35"/>
        <v>1509042681012026M04</v>
      </c>
      <c r="B2260">
        <v>51321001</v>
      </c>
      <c r="C2260">
        <v>26</v>
      </c>
      <c r="D2260">
        <v>150904</v>
      </c>
      <c r="E2260">
        <v>268101</v>
      </c>
      <c r="F2260" t="s">
        <v>115</v>
      </c>
      <c r="G2260" t="s">
        <v>66</v>
      </c>
      <c r="H2260">
        <v>7752.33</v>
      </c>
      <c r="I2260">
        <v>7752.33</v>
      </c>
      <c r="J2260">
        <v>0</v>
      </c>
      <c r="K2260">
        <v>0</v>
      </c>
      <c r="L2260">
        <v>0</v>
      </c>
    </row>
    <row r="2261" spans="1:12" x14ac:dyDescent="0.25">
      <c r="A2261" t="str">
        <f t="shared" si="35"/>
        <v>1509042681012026M05</v>
      </c>
      <c r="B2261">
        <v>51321001</v>
      </c>
      <c r="C2261">
        <v>26</v>
      </c>
      <c r="D2261">
        <v>150904</v>
      </c>
      <c r="E2261">
        <v>268101</v>
      </c>
      <c r="F2261" t="s">
        <v>115</v>
      </c>
      <c r="G2261" t="s">
        <v>67</v>
      </c>
      <c r="H2261">
        <v>7752.33</v>
      </c>
      <c r="I2261">
        <v>7752.33</v>
      </c>
      <c r="J2261">
        <v>0</v>
      </c>
      <c r="K2261">
        <v>0</v>
      </c>
      <c r="L2261">
        <v>0</v>
      </c>
    </row>
    <row r="2262" spans="1:12" x14ac:dyDescent="0.25">
      <c r="A2262" t="str">
        <f t="shared" si="35"/>
        <v>1509042681012026M06</v>
      </c>
      <c r="B2262">
        <v>51321001</v>
      </c>
      <c r="C2262">
        <v>26</v>
      </c>
      <c r="D2262">
        <v>150904</v>
      </c>
      <c r="E2262">
        <v>268101</v>
      </c>
      <c r="F2262" t="s">
        <v>115</v>
      </c>
      <c r="G2262" t="s">
        <v>68</v>
      </c>
      <c r="H2262">
        <v>7752.33</v>
      </c>
      <c r="I2262">
        <v>7752.33</v>
      </c>
      <c r="J2262">
        <v>0</v>
      </c>
      <c r="K2262">
        <v>0</v>
      </c>
      <c r="L2262">
        <v>0</v>
      </c>
    </row>
    <row r="2263" spans="1:12" x14ac:dyDescent="0.25">
      <c r="A2263" t="str">
        <f t="shared" si="35"/>
        <v>1509042681012026M07</v>
      </c>
      <c r="B2263">
        <v>51321001</v>
      </c>
      <c r="C2263">
        <v>26</v>
      </c>
      <c r="D2263">
        <v>150904</v>
      </c>
      <c r="E2263">
        <v>268101</v>
      </c>
      <c r="F2263" t="s">
        <v>115</v>
      </c>
      <c r="G2263" t="s">
        <v>69</v>
      </c>
      <c r="H2263">
        <v>7752.33</v>
      </c>
      <c r="I2263">
        <v>7752.33</v>
      </c>
      <c r="J2263">
        <v>0</v>
      </c>
      <c r="K2263">
        <v>0</v>
      </c>
      <c r="L2263">
        <v>0</v>
      </c>
    </row>
    <row r="2264" spans="1:12" x14ac:dyDescent="0.25">
      <c r="A2264" t="str">
        <f t="shared" si="35"/>
        <v>1509042681012026M08</v>
      </c>
      <c r="B2264">
        <v>51321001</v>
      </c>
      <c r="C2264">
        <v>26</v>
      </c>
      <c r="D2264">
        <v>150904</v>
      </c>
      <c r="E2264">
        <v>268101</v>
      </c>
      <c r="F2264" t="s">
        <v>115</v>
      </c>
      <c r="G2264" t="s">
        <v>70</v>
      </c>
      <c r="H2264">
        <v>7752.33</v>
      </c>
      <c r="I2264">
        <v>7752.33</v>
      </c>
      <c r="J2264">
        <v>0</v>
      </c>
      <c r="K2264">
        <v>0</v>
      </c>
      <c r="L2264">
        <v>0</v>
      </c>
    </row>
    <row r="2265" spans="1:12" x14ac:dyDescent="0.25">
      <c r="A2265" t="str">
        <f t="shared" si="35"/>
        <v>1509042681012026M09</v>
      </c>
      <c r="B2265">
        <v>51321001</v>
      </c>
      <c r="C2265">
        <v>26</v>
      </c>
      <c r="D2265">
        <v>150904</v>
      </c>
      <c r="E2265">
        <v>268101</v>
      </c>
      <c r="F2265" t="s">
        <v>115</v>
      </c>
      <c r="G2265" t="s">
        <v>71</v>
      </c>
      <c r="H2265">
        <v>7752.33</v>
      </c>
      <c r="I2265">
        <v>7752.33</v>
      </c>
      <c r="J2265">
        <v>0</v>
      </c>
      <c r="K2265">
        <v>0</v>
      </c>
      <c r="L2265">
        <v>0</v>
      </c>
    </row>
    <row r="2266" spans="1:12" x14ac:dyDescent="0.25">
      <c r="A2266" t="str">
        <f t="shared" si="35"/>
        <v>1509042681012026M10</v>
      </c>
      <c r="B2266">
        <v>51321001</v>
      </c>
      <c r="C2266">
        <v>26</v>
      </c>
      <c r="D2266">
        <v>150904</v>
      </c>
      <c r="E2266">
        <v>268101</v>
      </c>
      <c r="F2266" t="s">
        <v>115</v>
      </c>
      <c r="G2266" t="s">
        <v>72</v>
      </c>
      <c r="H2266">
        <v>7758.36</v>
      </c>
      <c r="I2266">
        <v>7752.33</v>
      </c>
      <c r="J2266">
        <v>0</v>
      </c>
      <c r="K2266">
        <v>0</v>
      </c>
      <c r="L2266">
        <v>6.03</v>
      </c>
    </row>
    <row r="2267" spans="1:12" x14ac:dyDescent="0.25">
      <c r="A2267" t="str">
        <f t="shared" si="35"/>
        <v>1509042681012026M11</v>
      </c>
      <c r="B2267">
        <v>51321001</v>
      </c>
      <c r="C2267">
        <v>26</v>
      </c>
      <c r="D2267">
        <v>150904</v>
      </c>
      <c r="E2267">
        <v>268101</v>
      </c>
      <c r="F2267" t="s">
        <v>115</v>
      </c>
      <c r="G2267" t="s">
        <v>73</v>
      </c>
      <c r="H2267">
        <v>7753</v>
      </c>
      <c r="I2267">
        <v>0</v>
      </c>
      <c r="J2267">
        <v>7752.33</v>
      </c>
      <c r="K2267">
        <v>0</v>
      </c>
      <c r="L2267">
        <v>0.67</v>
      </c>
    </row>
    <row r="2268" spans="1:12" x14ac:dyDescent="0.25">
      <c r="A2268" t="str">
        <f t="shared" si="35"/>
        <v>1509042681012026M12</v>
      </c>
      <c r="B2268">
        <v>51321001</v>
      </c>
      <c r="C2268">
        <v>26</v>
      </c>
      <c r="D2268">
        <v>150904</v>
      </c>
      <c r="E2268">
        <v>268101</v>
      </c>
      <c r="F2268" t="s">
        <v>115</v>
      </c>
      <c r="G2268" t="s">
        <v>74</v>
      </c>
      <c r="H2268">
        <v>15504.66</v>
      </c>
      <c r="I2268">
        <v>0</v>
      </c>
      <c r="J2268">
        <v>15504.66</v>
      </c>
      <c r="K2268">
        <v>0</v>
      </c>
      <c r="L2268">
        <v>0</v>
      </c>
    </row>
    <row r="2269" spans="1:12" x14ac:dyDescent="0.25">
      <c r="A2269" t="str">
        <f t="shared" si="35"/>
        <v>1509042681022026M02</v>
      </c>
      <c r="B2269">
        <v>51321001</v>
      </c>
      <c r="C2269">
        <v>26</v>
      </c>
      <c r="D2269">
        <v>150904</v>
      </c>
      <c r="E2269">
        <v>268102</v>
      </c>
      <c r="F2269" t="s">
        <v>115</v>
      </c>
      <c r="G2269" t="s">
        <v>64</v>
      </c>
      <c r="H2269">
        <v>0</v>
      </c>
      <c r="I2269">
        <v>0</v>
      </c>
      <c r="J2269">
        <v>0</v>
      </c>
      <c r="K2269">
        <v>0</v>
      </c>
      <c r="L2269">
        <v>0</v>
      </c>
    </row>
    <row r="2270" spans="1:12" x14ac:dyDescent="0.25">
      <c r="A2270" t="str">
        <f t="shared" si="35"/>
        <v>1509042681022026M03</v>
      </c>
      <c r="B2270">
        <v>51321001</v>
      </c>
      <c r="C2270">
        <v>26</v>
      </c>
      <c r="D2270">
        <v>150904</v>
      </c>
      <c r="E2270">
        <v>268102</v>
      </c>
      <c r="F2270" t="s">
        <v>115</v>
      </c>
      <c r="G2270" t="s">
        <v>65</v>
      </c>
      <c r="H2270">
        <v>18065.86</v>
      </c>
      <c r="I2270">
        <v>18065.86</v>
      </c>
      <c r="J2270">
        <v>0</v>
      </c>
      <c r="K2270">
        <v>0</v>
      </c>
      <c r="L2270">
        <v>0</v>
      </c>
    </row>
    <row r="2271" spans="1:12" x14ac:dyDescent="0.25">
      <c r="A2271" t="str">
        <f t="shared" si="35"/>
        <v>1509042681022026M04</v>
      </c>
      <c r="B2271">
        <v>51321001</v>
      </c>
      <c r="C2271">
        <v>26</v>
      </c>
      <c r="D2271">
        <v>150904</v>
      </c>
      <c r="E2271">
        <v>268102</v>
      </c>
      <c r="F2271" t="s">
        <v>115</v>
      </c>
      <c r="G2271" t="s">
        <v>66</v>
      </c>
      <c r="H2271">
        <v>9032.93</v>
      </c>
      <c r="I2271">
        <v>9032.93</v>
      </c>
      <c r="J2271">
        <v>0</v>
      </c>
      <c r="K2271">
        <v>0</v>
      </c>
      <c r="L2271">
        <v>0</v>
      </c>
    </row>
    <row r="2272" spans="1:12" x14ac:dyDescent="0.25">
      <c r="A2272" t="str">
        <f t="shared" si="35"/>
        <v>1509042681022026M05</v>
      </c>
      <c r="B2272">
        <v>51321001</v>
      </c>
      <c r="C2272">
        <v>26</v>
      </c>
      <c r="D2272">
        <v>150904</v>
      </c>
      <c r="E2272">
        <v>268102</v>
      </c>
      <c r="F2272" t="s">
        <v>115</v>
      </c>
      <c r="G2272" t="s">
        <v>67</v>
      </c>
      <c r="H2272">
        <v>9032.93</v>
      </c>
      <c r="I2272">
        <v>9032.93</v>
      </c>
      <c r="J2272">
        <v>0</v>
      </c>
      <c r="K2272">
        <v>0</v>
      </c>
      <c r="L2272">
        <v>0</v>
      </c>
    </row>
    <row r="2273" spans="1:12" x14ac:dyDescent="0.25">
      <c r="A2273" t="str">
        <f t="shared" si="35"/>
        <v>1509042681022026M06</v>
      </c>
      <c r="B2273">
        <v>51321001</v>
      </c>
      <c r="C2273">
        <v>26</v>
      </c>
      <c r="D2273">
        <v>150904</v>
      </c>
      <c r="E2273">
        <v>268102</v>
      </c>
      <c r="F2273" t="s">
        <v>115</v>
      </c>
      <c r="G2273" t="s">
        <v>68</v>
      </c>
      <c r="H2273">
        <v>9032.93</v>
      </c>
      <c r="I2273">
        <v>9032.93</v>
      </c>
      <c r="J2273">
        <v>0</v>
      </c>
      <c r="K2273">
        <v>0</v>
      </c>
      <c r="L2273">
        <v>0</v>
      </c>
    </row>
    <row r="2274" spans="1:12" x14ac:dyDescent="0.25">
      <c r="A2274" t="str">
        <f t="shared" si="35"/>
        <v>1509042681022026M07</v>
      </c>
      <c r="B2274">
        <v>51321001</v>
      </c>
      <c r="C2274">
        <v>26</v>
      </c>
      <c r="D2274">
        <v>150904</v>
      </c>
      <c r="E2274">
        <v>268102</v>
      </c>
      <c r="F2274" t="s">
        <v>115</v>
      </c>
      <c r="G2274" t="s">
        <v>69</v>
      </c>
      <c r="H2274">
        <v>9032.93</v>
      </c>
      <c r="I2274">
        <v>9032.93</v>
      </c>
      <c r="J2274">
        <v>0</v>
      </c>
      <c r="K2274">
        <v>0</v>
      </c>
      <c r="L2274">
        <v>0</v>
      </c>
    </row>
    <row r="2275" spans="1:12" x14ac:dyDescent="0.25">
      <c r="A2275" t="str">
        <f t="shared" si="35"/>
        <v>1509042681022026M08</v>
      </c>
      <c r="B2275">
        <v>51321001</v>
      </c>
      <c r="C2275">
        <v>26</v>
      </c>
      <c r="D2275">
        <v>150904</v>
      </c>
      <c r="E2275">
        <v>268102</v>
      </c>
      <c r="F2275" t="s">
        <v>115</v>
      </c>
      <c r="G2275" t="s">
        <v>70</v>
      </c>
      <c r="H2275">
        <v>9032.93</v>
      </c>
      <c r="I2275">
        <v>9032.93</v>
      </c>
      <c r="J2275">
        <v>0</v>
      </c>
      <c r="K2275">
        <v>0</v>
      </c>
      <c r="L2275">
        <v>0</v>
      </c>
    </row>
    <row r="2276" spans="1:12" x14ac:dyDescent="0.25">
      <c r="A2276" t="str">
        <f t="shared" si="35"/>
        <v>1509042681022026M09</v>
      </c>
      <c r="B2276">
        <v>51321001</v>
      </c>
      <c r="C2276">
        <v>26</v>
      </c>
      <c r="D2276">
        <v>150904</v>
      </c>
      <c r="E2276">
        <v>268102</v>
      </c>
      <c r="F2276" t="s">
        <v>115</v>
      </c>
      <c r="G2276" t="s">
        <v>71</v>
      </c>
      <c r="H2276">
        <v>9032.93</v>
      </c>
      <c r="I2276">
        <v>9032.93</v>
      </c>
      <c r="J2276">
        <v>0</v>
      </c>
      <c r="K2276">
        <v>0</v>
      </c>
      <c r="L2276">
        <v>0</v>
      </c>
    </row>
    <row r="2277" spans="1:12" x14ac:dyDescent="0.25">
      <c r="A2277" t="str">
        <f t="shared" si="35"/>
        <v>1509042681022026M10</v>
      </c>
      <c r="B2277">
        <v>51321001</v>
      </c>
      <c r="C2277">
        <v>26</v>
      </c>
      <c r="D2277">
        <v>150904</v>
      </c>
      <c r="E2277">
        <v>268102</v>
      </c>
      <c r="F2277" t="s">
        <v>115</v>
      </c>
      <c r="G2277" t="s">
        <v>72</v>
      </c>
      <c r="H2277">
        <v>9033.56</v>
      </c>
      <c r="I2277">
        <v>9032.93</v>
      </c>
      <c r="J2277">
        <v>0.09</v>
      </c>
      <c r="K2277">
        <v>0</v>
      </c>
      <c r="L2277">
        <v>0.54</v>
      </c>
    </row>
    <row r="2278" spans="1:12" x14ac:dyDescent="0.25">
      <c r="A2278" t="str">
        <f t="shared" si="35"/>
        <v>1509042681022026M11</v>
      </c>
      <c r="B2278">
        <v>51321001</v>
      </c>
      <c r="C2278">
        <v>26</v>
      </c>
      <c r="D2278">
        <v>150904</v>
      </c>
      <c r="E2278">
        <v>268102</v>
      </c>
      <c r="F2278" t="s">
        <v>115</v>
      </c>
      <c r="G2278" t="s">
        <v>73</v>
      </c>
      <c r="H2278">
        <v>9033</v>
      </c>
      <c r="I2278">
        <v>0</v>
      </c>
      <c r="J2278">
        <v>9032.94</v>
      </c>
      <c r="K2278">
        <v>0</v>
      </c>
      <c r="L2278">
        <v>0.06</v>
      </c>
    </row>
    <row r="2279" spans="1:12" x14ac:dyDescent="0.25">
      <c r="A2279" t="str">
        <f t="shared" si="35"/>
        <v>1509042681022026M12</v>
      </c>
      <c r="B2279">
        <v>51321001</v>
      </c>
      <c r="C2279">
        <v>26</v>
      </c>
      <c r="D2279">
        <v>150904</v>
      </c>
      <c r="E2279">
        <v>268102</v>
      </c>
      <c r="F2279" t="s">
        <v>115</v>
      </c>
      <c r="G2279" t="s">
        <v>74</v>
      </c>
      <c r="H2279">
        <v>18066</v>
      </c>
      <c r="I2279">
        <v>0</v>
      </c>
      <c r="J2279">
        <v>18065.88</v>
      </c>
      <c r="K2279">
        <v>0</v>
      </c>
      <c r="L2279">
        <v>0.12</v>
      </c>
    </row>
    <row r="2280" spans="1:12" x14ac:dyDescent="0.25">
      <c r="A2280" t="str">
        <f t="shared" si="35"/>
        <v>2002002602012026M02</v>
      </c>
      <c r="B2280">
        <v>51321001</v>
      </c>
      <c r="C2280">
        <v>26</v>
      </c>
      <c r="D2280">
        <v>200200</v>
      </c>
      <c r="E2280">
        <v>260201</v>
      </c>
      <c r="F2280" t="s">
        <v>115</v>
      </c>
      <c r="G2280" t="s">
        <v>64</v>
      </c>
      <c r="H2280">
        <v>0</v>
      </c>
      <c r="I2280">
        <v>0</v>
      </c>
      <c r="J2280">
        <v>0</v>
      </c>
      <c r="K2280">
        <v>0</v>
      </c>
      <c r="L2280">
        <v>0</v>
      </c>
    </row>
    <row r="2281" spans="1:12" x14ac:dyDescent="0.25">
      <c r="A2281" t="str">
        <f t="shared" si="35"/>
        <v>2002002602012026M03</v>
      </c>
      <c r="B2281">
        <v>51321001</v>
      </c>
      <c r="C2281">
        <v>26</v>
      </c>
      <c r="D2281">
        <v>200200</v>
      </c>
      <c r="E2281">
        <v>260201</v>
      </c>
      <c r="F2281" t="s">
        <v>115</v>
      </c>
      <c r="G2281" t="s">
        <v>65</v>
      </c>
      <c r="H2281">
        <v>0</v>
      </c>
      <c r="I2281">
        <v>0</v>
      </c>
      <c r="J2281">
        <v>0</v>
      </c>
      <c r="K2281">
        <v>0</v>
      </c>
      <c r="L2281">
        <v>0</v>
      </c>
    </row>
    <row r="2282" spans="1:12" x14ac:dyDescent="0.25">
      <c r="A2282" t="str">
        <f t="shared" si="35"/>
        <v>2002002602012026M04</v>
      </c>
      <c r="B2282">
        <v>51321001</v>
      </c>
      <c r="C2282">
        <v>26</v>
      </c>
      <c r="D2282">
        <v>200200</v>
      </c>
      <c r="E2282">
        <v>260201</v>
      </c>
      <c r="F2282" t="s">
        <v>115</v>
      </c>
      <c r="G2282" t="s">
        <v>66</v>
      </c>
      <c r="H2282">
        <v>56310.96</v>
      </c>
      <c r="I2282">
        <v>56310.96</v>
      </c>
      <c r="J2282">
        <v>0</v>
      </c>
      <c r="K2282">
        <v>0</v>
      </c>
      <c r="L2282">
        <v>0</v>
      </c>
    </row>
    <row r="2283" spans="1:12" x14ac:dyDescent="0.25">
      <c r="A2283" t="str">
        <f t="shared" si="35"/>
        <v>2002002602012026M05</v>
      </c>
      <c r="B2283">
        <v>51321001</v>
      </c>
      <c r="C2283">
        <v>26</v>
      </c>
      <c r="D2283">
        <v>200200</v>
      </c>
      <c r="E2283">
        <v>260201</v>
      </c>
      <c r="F2283" t="s">
        <v>115</v>
      </c>
      <c r="G2283" t="s">
        <v>67</v>
      </c>
      <c r="H2283">
        <v>18770.32</v>
      </c>
      <c r="I2283">
        <v>18770.32</v>
      </c>
      <c r="J2283">
        <v>0</v>
      </c>
      <c r="K2283">
        <v>0</v>
      </c>
      <c r="L2283">
        <v>0</v>
      </c>
    </row>
    <row r="2284" spans="1:12" x14ac:dyDescent="0.25">
      <c r="A2284" t="str">
        <f t="shared" si="35"/>
        <v>2002002602012026M06</v>
      </c>
      <c r="B2284">
        <v>51321001</v>
      </c>
      <c r="C2284">
        <v>26</v>
      </c>
      <c r="D2284">
        <v>200200</v>
      </c>
      <c r="E2284">
        <v>260201</v>
      </c>
      <c r="F2284" t="s">
        <v>115</v>
      </c>
      <c r="G2284" t="s">
        <v>68</v>
      </c>
      <c r="H2284">
        <v>18770.32</v>
      </c>
      <c r="I2284">
        <v>18770.32</v>
      </c>
      <c r="J2284">
        <v>0</v>
      </c>
      <c r="K2284">
        <v>0</v>
      </c>
      <c r="L2284">
        <v>0</v>
      </c>
    </row>
    <row r="2285" spans="1:12" x14ac:dyDescent="0.25">
      <c r="A2285" t="str">
        <f t="shared" si="35"/>
        <v>2002002602012026M07</v>
      </c>
      <c r="B2285">
        <v>51321001</v>
      </c>
      <c r="C2285">
        <v>26</v>
      </c>
      <c r="D2285">
        <v>200200</v>
      </c>
      <c r="E2285">
        <v>260201</v>
      </c>
      <c r="F2285" t="s">
        <v>115</v>
      </c>
      <c r="G2285" t="s">
        <v>69</v>
      </c>
      <c r="H2285">
        <v>18770.32</v>
      </c>
      <c r="I2285">
        <v>18770.32</v>
      </c>
      <c r="J2285">
        <v>0</v>
      </c>
      <c r="K2285">
        <v>0</v>
      </c>
      <c r="L2285">
        <v>0</v>
      </c>
    </row>
    <row r="2286" spans="1:12" x14ac:dyDescent="0.25">
      <c r="A2286" t="str">
        <f t="shared" si="35"/>
        <v>2002002602012026M08</v>
      </c>
      <c r="B2286">
        <v>51321001</v>
      </c>
      <c r="C2286">
        <v>26</v>
      </c>
      <c r="D2286">
        <v>200200</v>
      </c>
      <c r="E2286">
        <v>260201</v>
      </c>
      <c r="F2286" t="s">
        <v>115</v>
      </c>
      <c r="G2286" t="s">
        <v>70</v>
      </c>
      <c r="H2286">
        <v>18770.32</v>
      </c>
      <c r="I2286">
        <v>18770.32</v>
      </c>
      <c r="J2286">
        <v>0</v>
      </c>
      <c r="K2286">
        <v>0</v>
      </c>
      <c r="L2286">
        <v>0</v>
      </c>
    </row>
    <row r="2287" spans="1:12" x14ac:dyDescent="0.25">
      <c r="A2287" t="str">
        <f t="shared" si="35"/>
        <v>2002002602012026M09</v>
      </c>
      <c r="B2287">
        <v>51321001</v>
      </c>
      <c r="C2287">
        <v>26</v>
      </c>
      <c r="D2287">
        <v>200200</v>
      </c>
      <c r="E2287">
        <v>260201</v>
      </c>
      <c r="F2287" t="s">
        <v>115</v>
      </c>
      <c r="G2287" t="s">
        <v>71</v>
      </c>
      <c r="H2287">
        <v>18770.32</v>
      </c>
      <c r="I2287">
        <v>18770.32</v>
      </c>
      <c r="J2287">
        <v>0</v>
      </c>
      <c r="K2287">
        <v>0</v>
      </c>
      <c r="L2287">
        <v>0</v>
      </c>
    </row>
    <row r="2288" spans="1:12" x14ac:dyDescent="0.25">
      <c r="A2288" t="str">
        <f t="shared" si="35"/>
        <v>2002002602012026M10</v>
      </c>
      <c r="B2288">
        <v>51321001</v>
      </c>
      <c r="C2288">
        <v>26</v>
      </c>
      <c r="D2288">
        <v>200200</v>
      </c>
      <c r="E2288">
        <v>260201</v>
      </c>
      <c r="F2288" t="s">
        <v>115</v>
      </c>
      <c r="G2288" t="s">
        <v>72</v>
      </c>
      <c r="H2288">
        <v>18776.439999999999</v>
      </c>
      <c r="I2288">
        <v>18770.32</v>
      </c>
      <c r="J2288">
        <v>0</v>
      </c>
      <c r="K2288">
        <v>0</v>
      </c>
      <c r="L2288">
        <v>6.12</v>
      </c>
    </row>
    <row r="2289" spans="1:12" x14ac:dyDescent="0.25">
      <c r="A2289" t="str">
        <f t="shared" si="35"/>
        <v>2002002602012026M11</v>
      </c>
      <c r="B2289">
        <v>51321001</v>
      </c>
      <c r="C2289">
        <v>26</v>
      </c>
      <c r="D2289">
        <v>200200</v>
      </c>
      <c r="E2289">
        <v>260201</v>
      </c>
      <c r="F2289" t="s">
        <v>115</v>
      </c>
      <c r="G2289" t="s">
        <v>73</v>
      </c>
      <c r="H2289">
        <v>18771</v>
      </c>
      <c r="I2289">
        <v>0</v>
      </c>
      <c r="J2289">
        <v>18770.32</v>
      </c>
      <c r="K2289">
        <v>0</v>
      </c>
      <c r="L2289">
        <v>0.68</v>
      </c>
    </row>
    <row r="2290" spans="1:12" x14ac:dyDescent="0.25">
      <c r="A2290" t="str">
        <f t="shared" si="35"/>
        <v>2002002602012026M12</v>
      </c>
      <c r="B2290">
        <v>51321001</v>
      </c>
      <c r="C2290">
        <v>26</v>
      </c>
      <c r="D2290">
        <v>200200</v>
      </c>
      <c r="E2290">
        <v>260201</v>
      </c>
      <c r="F2290" t="s">
        <v>115</v>
      </c>
      <c r="G2290" t="s">
        <v>74</v>
      </c>
      <c r="H2290">
        <v>37540.639999999999</v>
      </c>
      <c r="I2290">
        <v>0</v>
      </c>
      <c r="J2290">
        <v>37540.639999999999</v>
      </c>
      <c r="K2290">
        <v>0</v>
      </c>
      <c r="L2290">
        <v>0</v>
      </c>
    </row>
    <row r="2291" spans="1:12" x14ac:dyDescent="0.25">
      <c r="A2291" t="str">
        <f t="shared" si="35"/>
        <v>2002002602022026M02</v>
      </c>
      <c r="B2291">
        <v>51321001</v>
      </c>
      <c r="C2291">
        <v>26</v>
      </c>
      <c r="D2291">
        <v>200200</v>
      </c>
      <c r="E2291">
        <v>260202</v>
      </c>
      <c r="F2291" t="s">
        <v>115</v>
      </c>
      <c r="G2291" t="s">
        <v>64</v>
      </c>
      <c r="H2291">
        <v>0</v>
      </c>
      <c r="I2291">
        <v>0</v>
      </c>
      <c r="J2291">
        <v>0</v>
      </c>
      <c r="K2291">
        <v>0</v>
      </c>
      <c r="L2291">
        <v>0</v>
      </c>
    </row>
    <row r="2292" spans="1:12" x14ac:dyDescent="0.25">
      <c r="A2292" t="str">
        <f t="shared" si="35"/>
        <v>2002002602022026M03</v>
      </c>
      <c r="B2292">
        <v>51321001</v>
      </c>
      <c r="C2292">
        <v>26</v>
      </c>
      <c r="D2292">
        <v>200200</v>
      </c>
      <c r="E2292">
        <v>260202</v>
      </c>
      <c r="F2292" t="s">
        <v>115</v>
      </c>
      <c r="G2292" t="s">
        <v>65</v>
      </c>
      <c r="H2292">
        <v>68440</v>
      </c>
      <c r="I2292">
        <v>68440</v>
      </c>
      <c r="J2292">
        <v>0</v>
      </c>
      <c r="K2292">
        <v>0</v>
      </c>
      <c r="L2292">
        <v>0</v>
      </c>
    </row>
    <row r="2293" spans="1:12" x14ac:dyDescent="0.25">
      <c r="A2293" t="str">
        <f t="shared" si="35"/>
        <v>2002002602022026M04</v>
      </c>
      <c r="B2293">
        <v>51321001</v>
      </c>
      <c r="C2293">
        <v>26</v>
      </c>
      <c r="D2293">
        <v>200200</v>
      </c>
      <c r="E2293">
        <v>260202</v>
      </c>
      <c r="F2293" t="s">
        <v>115</v>
      </c>
      <c r="G2293" t="s">
        <v>66</v>
      </c>
      <c r="H2293">
        <v>34220</v>
      </c>
      <c r="I2293">
        <v>34220</v>
      </c>
      <c r="J2293">
        <v>0</v>
      </c>
      <c r="K2293">
        <v>0</v>
      </c>
      <c r="L2293">
        <v>0</v>
      </c>
    </row>
    <row r="2294" spans="1:12" x14ac:dyDescent="0.25">
      <c r="A2294" t="str">
        <f t="shared" si="35"/>
        <v>2002002602022026M05</v>
      </c>
      <c r="B2294">
        <v>51321001</v>
      </c>
      <c r="C2294">
        <v>26</v>
      </c>
      <c r="D2294">
        <v>200200</v>
      </c>
      <c r="E2294">
        <v>260202</v>
      </c>
      <c r="F2294" t="s">
        <v>115</v>
      </c>
      <c r="G2294" t="s">
        <v>67</v>
      </c>
      <c r="H2294">
        <v>34220</v>
      </c>
      <c r="I2294">
        <v>34220</v>
      </c>
      <c r="J2294">
        <v>0</v>
      </c>
      <c r="K2294">
        <v>0</v>
      </c>
      <c r="L2294">
        <v>0</v>
      </c>
    </row>
    <row r="2295" spans="1:12" x14ac:dyDescent="0.25">
      <c r="A2295" t="str">
        <f t="shared" si="35"/>
        <v>2002002602022026M06</v>
      </c>
      <c r="B2295">
        <v>51321001</v>
      </c>
      <c r="C2295">
        <v>26</v>
      </c>
      <c r="D2295">
        <v>200200</v>
      </c>
      <c r="E2295">
        <v>260202</v>
      </c>
      <c r="F2295" t="s">
        <v>115</v>
      </c>
      <c r="G2295" t="s">
        <v>68</v>
      </c>
      <c r="H2295">
        <v>34220</v>
      </c>
      <c r="I2295">
        <v>34220</v>
      </c>
      <c r="J2295">
        <v>0</v>
      </c>
      <c r="K2295">
        <v>0</v>
      </c>
      <c r="L2295">
        <v>0</v>
      </c>
    </row>
    <row r="2296" spans="1:12" x14ac:dyDescent="0.25">
      <c r="A2296" t="str">
        <f t="shared" si="35"/>
        <v>2002002602022026M07</v>
      </c>
      <c r="B2296">
        <v>51321001</v>
      </c>
      <c r="C2296">
        <v>26</v>
      </c>
      <c r="D2296">
        <v>200200</v>
      </c>
      <c r="E2296">
        <v>260202</v>
      </c>
      <c r="F2296" t="s">
        <v>115</v>
      </c>
      <c r="G2296" t="s">
        <v>69</v>
      </c>
      <c r="H2296">
        <v>34220</v>
      </c>
      <c r="I2296">
        <v>34220</v>
      </c>
      <c r="J2296">
        <v>0</v>
      </c>
      <c r="K2296">
        <v>0</v>
      </c>
      <c r="L2296">
        <v>0</v>
      </c>
    </row>
    <row r="2297" spans="1:12" x14ac:dyDescent="0.25">
      <c r="A2297" t="str">
        <f t="shared" si="35"/>
        <v>2002002602022026M08</v>
      </c>
      <c r="B2297">
        <v>51321001</v>
      </c>
      <c r="C2297">
        <v>26</v>
      </c>
      <c r="D2297">
        <v>200200</v>
      </c>
      <c r="E2297">
        <v>260202</v>
      </c>
      <c r="F2297" t="s">
        <v>115</v>
      </c>
      <c r="G2297" t="s">
        <v>70</v>
      </c>
      <c r="H2297">
        <v>34220</v>
      </c>
      <c r="I2297">
        <v>34220</v>
      </c>
      <c r="J2297">
        <v>0</v>
      </c>
      <c r="K2297">
        <v>0</v>
      </c>
      <c r="L2297">
        <v>0</v>
      </c>
    </row>
    <row r="2298" spans="1:12" x14ac:dyDescent="0.25">
      <c r="A2298" t="str">
        <f t="shared" si="35"/>
        <v>2002002602022026M09</v>
      </c>
      <c r="B2298">
        <v>51321001</v>
      </c>
      <c r="C2298">
        <v>26</v>
      </c>
      <c r="D2298">
        <v>200200</v>
      </c>
      <c r="E2298">
        <v>260202</v>
      </c>
      <c r="F2298" t="s">
        <v>115</v>
      </c>
      <c r="G2298" t="s">
        <v>71</v>
      </c>
      <c r="H2298">
        <v>34220</v>
      </c>
      <c r="I2298">
        <v>34220</v>
      </c>
      <c r="J2298">
        <v>0</v>
      </c>
      <c r="K2298">
        <v>0</v>
      </c>
      <c r="L2298">
        <v>0</v>
      </c>
    </row>
    <row r="2299" spans="1:12" x14ac:dyDescent="0.25">
      <c r="A2299" t="str">
        <f t="shared" si="35"/>
        <v>2002002602022026M10</v>
      </c>
      <c r="B2299">
        <v>51321001</v>
      </c>
      <c r="C2299">
        <v>26</v>
      </c>
      <c r="D2299">
        <v>200200</v>
      </c>
      <c r="E2299">
        <v>260202</v>
      </c>
      <c r="F2299" t="s">
        <v>115</v>
      </c>
      <c r="G2299" t="s">
        <v>72</v>
      </c>
      <c r="H2299">
        <v>34220</v>
      </c>
      <c r="I2299">
        <v>34220</v>
      </c>
      <c r="J2299">
        <v>0</v>
      </c>
      <c r="K2299">
        <v>0</v>
      </c>
      <c r="L2299">
        <v>0</v>
      </c>
    </row>
    <row r="2300" spans="1:12" x14ac:dyDescent="0.25">
      <c r="A2300" t="str">
        <f t="shared" si="35"/>
        <v>2002002602022026M11</v>
      </c>
      <c r="B2300">
        <v>51321001</v>
      </c>
      <c r="C2300">
        <v>26</v>
      </c>
      <c r="D2300">
        <v>200200</v>
      </c>
      <c r="E2300">
        <v>260202</v>
      </c>
      <c r="F2300" t="s">
        <v>115</v>
      </c>
      <c r="G2300" t="s">
        <v>73</v>
      </c>
      <c r="H2300">
        <v>34220</v>
      </c>
      <c r="I2300">
        <v>0</v>
      </c>
      <c r="J2300">
        <v>34220</v>
      </c>
      <c r="K2300">
        <v>0</v>
      </c>
      <c r="L2300">
        <v>0</v>
      </c>
    </row>
    <row r="2301" spans="1:12" x14ac:dyDescent="0.25">
      <c r="A2301" t="str">
        <f t="shared" si="35"/>
        <v>2002002602022026M12</v>
      </c>
      <c r="B2301">
        <v>51321001</v>
      </c>
      <c r="C2301">
        <v>26</v>
      </c>
      <c r="D2301">
        <v>200200</v>
      </c>
      <c r="E2301">
        <v>260202</v>
      </c>
      <c r="F2301" t="s">
        <v>115</v>
      </c>
      <c r="G2301" t="s">
        <v>74</v>
      </c>
      <c r="H2301">
        <v>68440</v>
      </c>
      <c r="I2301">
        <v>0</v>
      </c>
      <c r="J2301">
        <v>68440</v>
      </c>
      <c r="K2301">
        <v>0</v>
      </c>
      <c r="L2301">
        <v>0</v>
      </c>
    </row>
    <row r="2302" spans="1:12" x14ac:dyDescent="0.25">
      <c r="A2302" t="str">
        <f t="shared" si="35"/>
        <v>2002002624302026M02</v>
      </c>
      <c r="B2302">
        <v>51321001</v>
      </c>
      <c r="C2302">
        <v>26</v>
      </c>
      <c r="D2302">
        <v>200200</v>
      </c>
      <c r="E2302">
        <v>262430</v>
      </c>
      <c r="F2302" t="s">
        <v>115</v>
      </c>
      <c r="G2302" t="s">
        <v>64</v>
      </c>
      <c r="H2302">
        <v>0</v>
      </c>
      <c r="I2302">
        <v>0</v>
      </c>
      <c r="J2302">
        <v>0</v>
      </c>
      <c r="K2302">
        <v>0</v>
      </c>
      <c r="L2302">
        <v>0</v>
      </c>
    </row>
    <row r="2303" spans="1:12" x14ac:dyDescent="0.25">
      <c r="A2303" t="str">
        <f t="shared" si="35"/>
        <v>2002002624302026M03</v>
      </c>
      <c r="B2303">
        <v>51321001</v>
      </c>
      <c r="C2303">
        <v>26</v>
      </c>
      <c r="D2303">
        <v>200200</v>
      </c>
      <c r="E2303">
        <v>262430</v>
      </c>
      <c r="F2303" t="s">
        <v>115</v>
      </c>
      <c r="G2303" t="s">
        <v>65</v>
      </c>
      <c r="H2303">
        <v>0</v>
      </c>
      <c r="I2303">
        <v>0</v>
      </c>
      <c r="J2303">
        <v>0</v>
      </c>
      <c r="K2303">
        <v>0</v>
      </c>
      <c r="L2303">
        <v>0</v>
      </c>
    </row>
    <row r="2304" spans="1:12" x14ac:dyDescent="0.25">
      <c r="A2304" t="str">
        <f t="shared" si="35"/>
        <v>2002002624302026M04</v>
      </c>
      <c r="B2304">
        <v>51321001</v>
      </c>
      <c r="C2304">
        <v>26</v>
      </c>
      <c r="D2304">
        <v>200200</v>
      </c>
      <c r="E2304">
        <v>262430</v>
      </c>
      <c r="F2304" t="s">
        <v>115</v>
      </c>
      <c r="G2304" t="s">
        <v>66</v>
      </c>
      <c r="H2304">
        <v>0</v>
      </c>
      <c r="I2304">
        <v>0</v>
      </c>
      <c r="J2304">
        <v>0</v>
      </c>
      <c r="K2304">
        <v>0</v>
      </c>
      <c r="L2304">
        <v>0</v>
      </c>
    </row>
    <row r="2305" spans="1:12" x14ac:dyDescent="0.25">
      <c r="A2305" t="str">
        <f t="shared" si="35"/>
        <v>2002002624302026M05</v>
      </c>
      <c r="B2305">
        <v>51321001</v>
      </c>
      <c r="C2305">
        <v>26</v>
      </c>
      <c r="D2305">
        <v>200200</v>
      </c>
      <c r="E2305">
        <v>262430</v>
      </c>
      <c r="F2305" t="s">
        <v>115</v>
      </c>
      <c r="G2305" t="s">
        <v>67</v>
      </c>
      <c r="H2305">
        <v>0</v>
      </c>
      <c r="I2305">
        <v>0</v>
      </c>
      <c r="J2305">
        <v>0</v>
      </c>
      <c r="K2305">
        <v>0</v>
      </c>
      <c r="L2305">
        <v>0</v>
      </c>
    </row>
    <row r="2306" spans="1:12" x14ac:dyDescent="0.25">
      <c r="A2306" t="str">
        <f t="shared" si="35"/>
        <v>2002002624302026M06</v>
      </c>
      <c r="B2306">
        <v>51321001</v>
      </c>
      <c r="C2306">
        <v>26</v>
      </c>
      <c r="D2306">
        <v>200200</v>
      </c>
      <c r="E2306">
        <v>262430</v>
      </c>
      <c r="F2306" t="s">
        <v>115</v>
      </c>
      <c r="G2306" t="s">
        <v>68</v>
      </c>
      <c r="H2306">
        <v>0</v>
      </c>
      <c r="I2306">
        <v>0</v>
      </c>
      <c r="J2306">
        <v>0</v>
      </c>
      <c r="K2306">
        <v>0</v>
      </c>
      <c r="L2306">
        <v>0</v>
      </c>
    </row>
    <row r="2307" spans="1:12" x14ac:dyDescent="0.25">
      <c r="A2307" t="str">
        <f t="shared" si="35"/>
        <v>2002002624302026M07</v>
      </c>
      <c r="B2307">
        <v>51321001</v>
      </c>
      <c r="C2307">
        <v>26</v>
      </c>
      <c r="D2307">
        <v>200200</v>
      </c>
      <c r="E2307">
        <v>262430</v>
      </c>
      <c r="F2307" t="s">
        <v>115</v>
      </c>
      <c r="G2307" t="s">
        <v>69</v>
      </c>
      <c r="H2307">
        <v>0</v>
      </c>
      <c r="I2307">
        <v>0</v>
      </c>
      <c r="J2307">
        <v>0</v>
      </c>
      <c r="K2307">
        <v>0</v>
      </c>
      <c r="L2307">
        <v>0</v>
      </c>
    </row>
    <row r="2308" spans="1:12" x14ac:dyDescent="0.25">
      <c r="A2308" t="str">
        <f t="shared" si="35"/>
        <v>2002002624302026M08</v>
      </c>
      <c r="B2308">
        <v>51321001</v>
      </c>
      <c r="C2308">
        <v>26</v>
      </c>
      <c r="D2308">
        <v>200200</v>
      </c>
      <c r="E2308">
        <v>262430</v>
      </c>
      <c r="F2308" t="s">
        <v>115</v>
      </c>
      <c r="G2308" t="s">
        <v>70</v>
      </c>
      <c r="H2308">
        <v>0</v>
      </c>
      <c r="I2308">
        <v>0</v>
      </c>
      <c r="J2308">
        <v>0</v>
      </c>
      <c r="K2308">
        <v>0</v>
      </c>
      <c r="L2308">
        <v>0</v>
      </c>
    </row>
    <row r="2309" spans="1:12" x14ac:dyDescent="0.25">
      <c r="A2309" t="str">
        <f t="shared" si="35"/>
        <v>2002002624302026M09</v>
      </c>
      <c r="B2309">
        <v>51321001</v>
      </c>
      <c r="C2309">
        <v>26</v>
      </c>
      <c r="D2309">
        <v>200200</v>
      </c>
      <c r="E2309">
        <v>262430</v>
      </c>
      <c r="F2309" t="s">
        <v>115</v>
      </c>
      <c r="G2309" t="s">
        <v>71</v>
      </c>
      <c r="H2309">
        <v>0</v>
      </c>
      <c r="I2309">
        <v>0</v>
      </c>
      <c r="J2309">
        <v>0</v>
      </c>
      <c r="K2309">
        <v>0</v>
      </c>
      <c r="L2309">
        <v>0</v>
      </c>
    </row>
    <row r="2310" spans="1:12" x14ac:dyDescent="0.25">
      <c r="A2310" t="str">
        <f t="shared" si="35"/>
        <v>2002002624302026M10</v>
      </c>
      <c r="B2310">
        <v>51321001</v>
      </c>
      <c r="C2310">
        <v>26</v>
      </c>
      <c r="D2310">
        <v>200200</v>
      </c>
      <c r="E2310">
        <v>262430</v>
      </c>
      <c r="F2310" t="s">
        <v>115</v>
      </c>
      <c r="G2310" t="s">
        <v>72</v>
      </c>
      <c r="H2310">
        <v>26100</v>
      </c>
      <c r="I2310">
        <v>0</v>
      </c>
      <c r="J2310">
        <v>26100</v>
      </c>
      <c r="K2310">
        <v>0</v>
      </c>
      <c r="L2310">
        <v>0</v>
      </c>
    </row>
    <row r="2311" spans="1:12" x14ac:dyDescent="0.25">
      <c r="A2311" t="str">
        <f t="shared" si="35"/>
        <v>2002002624302026M11</v>
      </c>
      <c r="B2311">
        <v>51321001</v>
      </c>
      <c r="C2311">
        <v>26</v>
      </c>
      <c r="D2311">
        <v>200200</v>
      </c>
      <c r="E2311">
        <v>262430</v>
      </c>
      <c r="F2311" t="s">
        <v>115</v>
      </c>
      <c r="G2311" t="s">
        <v>73</v>
      </c>
      <c r="H2311">
        <v>2900</v>
      </c>
      <c r="I2311">
        <v>0</v>
      </c>
      <c r="J2311">
        <v>2900</v>
      </c>
      <c r="K2311">
        <v>0</v>
      </c>
      <c r="L2311">
        <v>0</v>
      </c>
    </row>
    <row r="2312" spans="1:12" x14ac:dyDescent="0.25">
      <c r="A2312" t="str">
        <f t="shared" si="35"/>
        <v>2002002624302026M12</v>
      </c>
      <c r="B2312">
        <v>51321001</v>
      </c>
      <c r="C2312">
        <v>26</v>
      </c>
      <c r="D2312">
        <v>200200</v>
      </c>
      <c r="E2312">
        <v>262430</v>
      </c>
      <c r="F2312" t="s">
        <v>115</v>
      </c>
      <c r="G2312" t="s">
        <v>74</v>
      </c>
      <c r="H2312">
        <v>5800</v>
      </c>
      <c r="I2312">
        <v>0</v>
      </c>
      <c r="J2312">
        <v>5800</v>
      </c>
      <c r="K2312">
        <v>0</v>
      </c>
      <c r="L2312">
        <v>0</v>
      </c>
    </row>
    <row r="2313" spans="1:12" x14ac:dyDescent="0.25">
      <c r="A2313" t="str">
        <f t="shared" si="35"/>
        <v>3202002663012026M02</v>
      </c>
      <c r="B2313">
        <v>51321001</v>
      </c>
      <c r="C2313">
        <v>26</v>
      </c>
      <c r="D2313">
        <v>320200</v>
      </c>
      <c r="E2313">
        <v>266301</v>
      </c>
      <c r="F2313" t="s">
        <v>115</v>
      </c>
      <c r="G2313" t="s">
        <v>64</v>
      </c>
      <c r="H2313">
        <v>0</v>
      </c>
      <c r="I2313">
        <v>0</v>
      </c>
      <c r="J2313">
        <v>0</v>
      </c>
      <c r="K2313">
        <v>0</v>
      </c>
      <c r="L2313">
        <v>0</v>
      </c>
    </row>
    <row r="2314" spans="1:12" x14ac:dyDescent="0.25">
      <c r="A2314" t="str">
        <f t="shared" si="35"/>
        <v>3202002663012026M03</v>
      </c>
      <c r="B2314">
        <v>51321001</v>
      </c>
      <c r="C2314">
        <v>26</v>
      </c>
      <c r="D2314">
        <v>320200</v>
      </c>
      <c r="E2314">
        <v>266301</v>
      </c>
      <c r="F2314" t="s">
        <v>115</v>
      </c>
      <c r="G2314" t="s">
        <v>65</v>
      </c>
      <c r="H2314">
        <v>0</v>
      </c>
      <c r="I2314">
        <v>0</v>
      </c>
      <c r="J2314">
        <v>0</v>
      </c>
      <c r="K2314">
        <v>0</v>
      </c>
      <c r="L2314">
        <v>0</v>
      </c>
    </row>
    <row r="2315" spans="1:12" x14ac:dyDescent="0.25">
      <c r="A2315" t="str">
        <f t="shared" ref="A2315:A2378" si="36">D2315&amp;E2315&amp;G2315</f>
        <v>3202002663012026M04</v>
      </c>
      <c r="B2315">
        <v>51321001</v>
      </c>
      <c r="C2315">
        <v>26</v>
      </c>
      <c r="D2315">
        <v>320200</v>
      </c>
      <c r="E2315">
        <v>266301</v>
      </c>
      <c r="F2315" t="s">
        <v>115</v>
      </c>
      <c r="G2315" t="s">
        <v>66</v>
      </c>
      <c r="H2315">
        <v>6939.75</v>
      </c>
      <c r="I2315">
        <v>6939.75</v>
      </c>
      <c r="J2315">
        <v>0</v>
      </c>
      <c r="K2315">
        <v>0</v>
      </c>
      <c r="L2315">
        <v>0</v>
      </c>
    </row>
    <row r="2316" spans="1:12" x14ac:dyDescent="0.25">
      <c r="A2316" t="str">
        <f t="shared" si="36"/>
        <v>3202002663012026M05</v>
      </c>
      <c r="B2316">
        <v>51321001</v>
      </c>
      <c r="C2316">
        <v>26</v>
      </c>
      <c r="D2316">
        <v>320200</v>
      </c>
      <c r="E2316">
        <v>266301</v>
      </c>
      <c r="F2316" t="s">
        <v>115</v>
      </c>
      <c r="G2316" t="s">
        <v>67</v>
      </c>
      <c r="H2316">
        <v>2313.25</v>
      </c>
      <c r="I2316">
        <v>2313.25</v>
      </c>
      <c r="J2316">
        <v>0</v>
      </c>
      <c r="K2316">
        <v>0</v>
      </c>
      <c r="L2316">
        <v>0</v>
      </c>
    </row>
    <row r="2317" spans="1:12" x14ac:dyDescent="0.25">
      <c r="A2317" t="str">
        <f t="shared" si="36"/>
        <v>3202002663012026M06</v>
      </c>
      <c r="B2317">
        <v>51321001</v>
      </c>
      <c r="C2317">
        <v>26</v>
      </c>
      <c r="D2317">
        <v>320200</v>
      </c>
      <c r="E2317">
        <v>266301</v>
      </c>
      <c r="F2317" t="s">
        <v>115</v>
      </c>
      <c r="G2317" t="s">
        <v>68</v>
      </c>
      <c r="H2317">
        <v>2313.25</v>
      </c>
      <c r="I2317">
        <v>2313.25</v>
      </c>
      <c r="J2317">
        <v>0</v>
      </c>
      <c r="K2317">
        <v>0</v>
      </c>
      <c r="L2317">
        <v>0</v>
      </c>
    </row>
    <row r="2318" spans="1:12" x14ac:dyDescent="0.25">
      <c r="A2318" t="str">
        <f t="shared" si="36"/>
        <v>3202002663012026M07</v>
      </c>
      <c r="B2318">
        <v>51321001</v>
      </c>
      <c r="C2318">
        <v>26</v>
      </c>
      <c r="D2318">
        <v>320200</v>
      </c>
      <c r="E2318">
        <v>266301</v>
      </c>
      <c r="F2318" t="s">
        <v>115</v>
      </c>
      <c r="G2318" t="s">
        <v>69</v>
      </c>
      <c r="H2318">
        <v>2313.25</v>
      </c>
      <c r="I2318">
        <v>2313.25</v>
      </c>
      <c r="J2318">
        <v>0</v>
      </c>
      <c r="K2318">
        <v>0</v>
      </c>
      <c r="L2318">
        <v>0</v>
      </c>
    </row>
    <row r="2319" spans="1:12" x14ac:dyDescent="0.25">
      <c r="A2319" t="str">
        <f t="shared" si="36"/>
        <v>3202002663012026M08</v>
      </c>
      <c r="B2319">
        <v>51321001</v>
      </c>
      <c r="C2319">
        <v>26</v>
      </c>
      <c r="D2319">
        <v>320200</v>
      </c>
      <c r="E2319">
        <v>266301</v>
      </c>
      <c r="F2319" t="s">
        <v>115</v>
      </c>
      <c r="G2319" t="s">
        <v>70</v>
      </c>
      <c r="H2319">
        <v>0</v>
      </c>
      <c r="I2319">
        <v>0</v>
      </c>
      <c r="J2319">
        <v>0</v>
      </c>
      <c r="K2319">
        <v>0</v>
      </c>
      <c r="L2319">
        <v>0</v>
      </c>
    </row>
    <row r="2320" spans="1:12" x14ac:dyDescent="0.25">
      <c r="A2320" t="str">
        <f t="shared" si="36"/>
        <v>3202002663012026M09</v>
      </c>
      <c r="B2320">
        <v>51321001</v>
      </c>
      <c r="C2320">
        <v>26</v>
      </c>
      <c r="D2320">
        <v>320200</v>
      </c>
      <c r="E2320">
        <v>266301</v>
      </c>
      <c r="F2320" t="s">
        <v>115</v>
      </c>
      <c r="G2320" t="s">
        <v>71</v>
      </c>
      <c r="H2320">
        <v>4626.5</v>
      </c>
      <c r="I2320">
        <v>4626.5</v>
      </c>
      <c r="J2320">
        <v>0</v>
      </c>
      <c r="K2320">
        <v>0</v>
      </c>
      <c r="L2320">
        <v>0</v>
      </c>
    </row>
    <row r="2321" spans="1:12" x14ac:dyDescent="0.25">
      <c r="A2321" t="str">
        <f t="shared" si="36"/>
        <v>3202002663012026M10</v>
      </c>
      <c r="B2321">
        <v>51321001</v>
      </c>
      <c r="C2321">
        <v>26</v>
      </c>
      <c r="D2321">
        <v>320200</v>
      </c>
      <c r="E2321">
        <v>266301</v>
      </c>
      <c r="F2321" t="s">
        <v>115</v>
      </c>
      <c r="G2321" t="s">
        <v>72</v>
      </c>
      <c r="H2321">
        <v>2320</v>
      </c>
      <c r="I2321">
        <v>0</v>
      </c>
      <c r="J2321">
        <v>2313.25</v>
      </c>
      <c r="K2321">
        <v>0</v>
      </c>
      <c r="L2321">
        <v>6.75</v>
      </c>
    </row>
    <row r="2322" spans="1:12" x14ac:dyDescent="0.25">
      <c r="A2322" t="str">
        <f t="shared" si="36"/>
        <v>3202002663012026M11</v>
      </c>
      <c r="B2322">
        <v>51321001</v>
      </c>
      <c r="C2322">
        <v>26</v>
      </c>
      <c r="D2322">
        <v>320200</v>
      </c>
      <c r="E2322">
        <v>266301</v>
      </c>
      <c r="F2322" t="s">
        <v>115</v>
      </c>
      <c r="G2322" t="s">
        <v>73</v>
      </c>
      <c r="H2322">
        <v>2314</v>
      </c>
      <c r="I2322">
        <v>0</v>
      </c>
      <c r="J2322">
        <v>2313.25</v>
      </c>
      <c r="K2322">
        <v>0</v>
      </c>
      <c r="L2322">
        <v>0.75</v>
      </c>
    </row>
    <row r="2323" spans="1:12" x14ac:dyDescent="0.25">
      <c r="A2323" t="str">
        <f t="shared" si="36"/>
        <v>3202002663012026M12</v>
      </c>
      <c r="B2323">
        <v>51321001</v>
      </c>
      <c r="C2323">
        <v>26</v>
      </c>
      <c r="D2323">
        <v>320200</v>
      </c>
      <c r="E2323">
        <v>266301</v>
      </c>
      <c r="F2323" t="s">
        <v>115</v>
      </c>
      <c r="G2323" t="s">
        <v>74</v>
      </c>
      <c r="H2323">
        <v>4626.5</v>
      </c>
      <c r="I2323">
        <v>0</v>
      </c>
      <c r="J2323">
        <v>4626.5</v>
      </c>
      <c r="K2323">
        <v>0</v>
      </c>
      <c r="L2323">
        <v>0</v>
      </c>
    </row>
    <row r="2324" spans="1:12" x14ac:dyDescent="0.25">
      <c r="A2324" t="str">
        <f t="shared" si="36"/>
        <v>3802002659042026M02</v>
      </c>
      <c r="B2324">
        <v>51321001</v>
      </c>
      <c r="C2324">
        <v>26</v>
      </c>
      <c r="D2324">
        <v>380200</v>
      </c>
      <c r="E2324">
        <v>265904</v>
      </c>
      <c r="F2324" t="s">
        <v>115</v>
      </c>
      <c r="G2324" t="s">
        <v>64</v>
      </c>
      <c r="H2324">
        <v>0</v>
      </c>
      <c r="I2324">
        <v>0</v>
      </c>
      <c r="J2324">
        <v>0</v>
      </c>
      <c r="K2324">
        <v>0</v>
      </c>
      <c r="L2324">
        <v>0</v>
      </c>
    </row>
    <row r="2325" spans="1:12" x14ac:dyDescent="0.25">
      <c r="A2325" t="str">
        <f t="shared" si="36"/>
        <v>3802002659042026M03</v>
      </c>
      <c r="B2325">
        <v>51321001</v>
      </c>
      <c r="C2325">
        <v>26</v>
      </c>
      <c r="D2325">
        <v>380200</v>
      </c>
      <c r="E2325">
        <v>265904</v>
      </c>
      <c r="F2325" t="s">
        <v>115</v>
      </c>
      <c r="G2325" t="s">
        <v>65</v>
      </c>
      <c r="H2325">
        <v>73006.929999999993</v>
      </c>
      <c r="I2325">
        <v>73006.929999999993</v>
      </c>
      <c r="J2325">
        <v>0</v>
      </c>
      <c r="K2325">
        <v>0</v>
      </c>
      <c r="L2325">
        <v>0</v>
      </c>
    </row>
    <row r="2326" spans="1:12" x14ac:dyDescent="0.25">
      <c r="A2326" t="str">
        <f t="shared" si="36"/>
        <v>3802002659042026M04</v>
      </c>
      <c r="B2326">
        <v>51321001</v>
      </c>
      <c r="C2326">
        <v>26</v>
      </c>
      <c r="D2326">
        <v>380200</v>
      </c>
      <c r="E2326">
        <v>265904</v>
      </c>
      <c r="F2326" t="s">
        <v>115</v>
      </c>
      <c r="G2326" t="s">
        <v>66</v>
      </c>
      <c r="H2326">
        <v>146012.85</v>
      </c>
      <c r="I2326">
        <v>146012.85</v>
      </c>
      <c r="J2326">
        <v>0</v>
      </c>
      <c r="K2326">
        <v>0</v>
      </c>
      <c r="L2326">
        <v>0</v>
      </c>
    </row>
    <row r="2327" spans="1:12" x14ac:dyDescent="0.25">
      <c r="A2327" t="str">
        <f t="shared" si="36"/>
        <v>3802002659042026M05</v>
      </c>
      <c r="B2327">
        <v>51321001</v>
      </c>
      <c r="C2327">
        <v>26</v>
      </c>
      <c r="D2327">
        <v>380200</v>
      </c>
      <c r="E2327">
        <v>265904</v>
      </c>
      <c r="F2327" t="s">
        <v>115</v>
      </c>
      <c r="G2327" t="s">
        <v>67</v>
      </c>
      <c r="H2327">
        <v>73006.929999999993</v>
      </c>
      <c r="I2327">
        <v>73006.929999999993</v>
      </c>
      <c r="J2327">
        <v>0</v>
      </c>
      <c r="K2327">
        <v>0</v>
      </c>
      <c r="L2327">
        <v>0</v>
      </c>
    </row>
    <row r="2328" spans="1:12" x14ac:dyDescent="0.25">
      <c r="A2328" t="str">
        <f t="shared" si="36"/>
        <v>3802002659042026M06</v>
      </c>
      <c r="B2328">
        <v>51321001</v>
      </c>
      <c r="C2328">
        <v>26</v>
      </c>
      <c r="D2328">
        <v>380200</v>
      </c>
      <c r="E2328">
        <v>265904</v>
      </c>
      <c r="F2328" t="s">
        <v>115</v>
      </c>
      <c r="G2328" t="s">
        <v>68</v>
      </c>
      <c r="H2328">
        <v>73006.929999999993</v>
      </c>
      <c r="I2328">
        <v>73006.929999999993</v>
      </c>
      <c r="J2328">
        <v>0</v>
      </c>
      <c r="K2328">
        <v>0</v>
      </c>
      <c r="L2328">
        <v>0</v>
      </c>
    </row>
    <row r="2329" spans="1:12" x14ac:dyDescent="0.25">
      <c r="A2329" t="str">
        <f t="shared" si="36"/>
        <v>3802002659042026M07</v>
      </c>
      <c r="B2329">
        <v>51321001</v>
      </c>
      <c r="C2329">
        <v>26</v>
      </c>
      <c r="D2329">
        <v>380200</v>
      </c>
      <c r="E2329">
        <v>265904</v>
      </c>
      <c r="F2329" t="s">
        <v>115</v>
      </c>
      <c r="G2329" t="s">
        <v>69</v>
      </c>
      <c r="H2329">
        <v>73006.929999999993</v>
      </c>
      <c r="I2329">
        <v>73006.929999999993</v>
      </c>
      <c r="J2329">
        <v>0</v>
      </c>
      <c r="K2329">
        <v>0</v>
      </c>
      <c r="L2329">
        <v>0</v>
      </c>
    </row>
    <row r="2330" spans="1:12" x14ac:dyDescent="0.25">
      <c r="A2330" t="str">
        <f t="shared" si="36"/>
        <v>3802002659042026M08</v>
      </c>
      <c r="B2330">
        <v>51321001</v>
      </c>
      <c r="C2330">
        <v>26</v>
      </c>
      <c r="D2330">
        <v>380200</v>
      </c>
      <c r="E2330">
        <v>265904</v>
      </c>
      <c r="F2330" t="s">
        <v>115</v>
      </c>
      <c r="G2330" t="s">
        <v>70</v>
      </c>
      <c r="H2330">
        <v>73006.929999999993</v>
      </c>
      <c r="I2330">
        <v>73006.929999999993</v>
      </c>
      <c r="J2330">
        <v>0</v>
      </c>
      <c r="K2330">
        <v>0</v>
      </c>
      <c r="L2330">
        <v>0</v>
      </c>
    </row>
    <row r="2331" spans="1:12" x14ac:dyDescent="0.25">
      <c r="A2331" t="str">
        <f t="shared" si="36"/>
        <v>3802002659042026M09</v>
      </c>
      <c r="B2331">
        <v>51321001</v>
      </c>
      <c r="C2331">
        <v>26</v>
      </c>
      <c r="D2331">
        <v>380200</v>
      </c>
      <c r="E2331">
        <v>265904</v>
      </c>
      <c r="F2331" t="s">
        <v>115</v>
      </c>
      <c r="G2331" t="s">
        <v>71</v>
      </c>
      <c r="H2331">
        <v>73006.929999999993</v>
      </c>
      <c r="I2331">
        <v>73006.929999999993</v>
      </c>
      <c r="J2331">
        <v>0</v>
      </c>
      <c r="K2331">
        <v>0</v>
      </c>
      <c r="L2331">
        <v>0</v>
      </c>
    </row>
    <row r="2332" spans="1:12" x14ac:dyDescent="0.25">
      <c r="A2332" t="str">
        <f t="shared" si="36"/>
        <v>3802002659042026M10</v>
      </c>
      <c r="B2332">
        <v>51321001</v>
      </c>
      <c r="C2332">
        <v>26</v>
      </c>
      <c r="D2332">
        <v>380200</v>
      </c>
      <c r="E2332">
        <v>265904</v>
      </c>
      <c r="F2332" t="s">
        <v>115</v>
      </c>
      <c r="G2332" t="s">
        <v>72</v>
      </c>
      <c r="H2332">
        <v>73008.570000000007</v>
      </c>
      <c r="I2332">
        <v>73006.929999999993</v>
      </c>
      <c r="J2332">
        <v>0.92</v>
      </c>
      <c r="K2332">
        <v>0</v>
      </c>
      <c r="L2332">
        <v>0.72</v>
      </c>
    </row>
    <row r="2333" spans="1:12" x14ac:dyDescent="0.25">
      <c r="A2333" t="str">
        <f t="shared" si="36"/>
        <v>3802002659042026M11</v>
      </c>
      <c r="B2333">
        <v>51321001</v>
      </c>
      <c r="C2333">
        <v>26</v>
      </c>
      <c r="D2333">
        <v>380200</v>
      </c>
      <c r="E2333">
        <v>265904</v>
      </c>
      <c r="F2333" t="s">
        <v>115</v>
      </c>
      <c r="G2333" t="s">
        <v>73</v>
      </c>
      <c r="H2333">
        <v>73007</v>
      </c>
      <c r="I2333">
        <v>0</v>
      </c>
      <c r="J2333">
        <v>73006.92</v>
      </c>
      <c r="K2333">
        <v>0</v>
      </c>
      <c r="L2333">
        <v>0.08</v>
      </c>
    </row>
    <row r="2334" spans="1:12" x14ac:dyDescent="0.25">
      <c r="A2334" t="str">
        <f t="shared" si="36"/>
        <v>3802002659042026M12</v>
      </c>
      <c r="B2334">
        <v>51321001</v>
      </c>
      <c r="C2334">
        <v>26</v>
      </c>
      <c r="D2334">
        <v>380200</v>
      </c>
      <c r="E2334">
        <v>265904</v>
      </c>
      <c r="F2334" t="s">
        <v>115</v>
      </c>
      <c r="G2334" t="s">
        <v>74</v>
      </c>
      <c r="H2334">
        <v>146014</v>
      </c>
      <c r="I2334">
        <v>0</v>
      </c>
      <c r="J2334">
        <v>146013.84</v>
      </c>
      <c r="K2334">
        <v>0</v>
      </c>
      <c r="L2334">
        <v>0.16</v>
      </c>
    </row>
    <row r="2335" spans="1:12" x14ac:dyDescent="0.25">
      <c r="A2335" t="str">
        <f t="shared" si="36"/>
        <v>9001102691012026M02</v>
      </c>
      <c r="B2335">
        <v>51321001</v>
      </c>
      <c r="C2335">
        <v>26</v>
      </c>
      <c r="D2335">
        <v>900110</v>
      </c>
      <c r="E2335">
        <v>269101</v>
      </c>
      <c r="F2335" t="s">
        <v>115</v>
      </c>
      <c r="G2335" t="s">
        <v>64</v>
      </c>
      <c r="H2335">
        <v>0</v>
      </c>
      <c r="I2335">
        <v>0</v>
      </c>
      <c r="J2335">
        <v>0</v>
      </c>
      <c r="K2335">
        <v>0</v>
      </c>
      <c r="L2335">
        <v>0</v>
      </c>
    </row>
    <row r="2336" spans="1:12" x14ac:dyDescent="0.25">
      <c r="A2336" t="str">
        <f t="shared" si="36"/>
        <v>9001102691012026M03</v>
      </c>
      <c r="B2336">
        <v>51321001</v>
      </c>
      <c r="C2336">
        <v>26</v>
      </c>
      <c r="D2336">
        <v>900110</v>
      </c>
      <c r="E2336">
        <v>269101</v>
      </c>
      <c r="F2336" t="s">
        <v>115</v>
      </c>
      <c r="G2336" t="s">
        <v>65</v>
      </c>
      <c r="H2336">
        <v>429719.9</v>
      </c>
      <c r="I2336">
        <v>429719.9</v>
      </c>
      <c r="J2336">
        <v>0</v>
      </c>
      <c r="K2336">
        <v>0</v>
      </c>
      <c r="L2336">
        <v>0</v>
      </c>
    </row>
    <row r="2337" spans="1:12" x14ac:dyDescent="0.25">
      <c r="A2337" t="str">
        <f t="shared" si="36"/>
        <v>9001102691012026M04</v>
      </c>
      <c r="B2337">
        <v>51321001</v>
      </c>
      <c r="C2337">
        <v>26</v>
      </c>
      <c r="D2337">
        <v>900110</v>
      </c>
      <c r="E2337">
        <v>269101</v>
      </c>
      <c r="F2337" t="s">
        <v>115</v>
      </c>
      <c r="G2337" t="s">
        <v>66</v>
      </c>
      <c r="H2337">
        <v>214859.95</v>
      </c>
      <c r="I2337">
        <v>214859.95</v>
      </c>
      <c r="J2337">
        <v>0</v>
      </c>
      <c r="K2337">
        <v>0</v>
      </c>
      <c r="L2337">
        <v>0</v>
      </c>
    </row>
    <row r="2338" spans="1:12" x14ac:dyDescent="0.25">
      <c r="A2338" t="str">
        <f t="shared" si="36"/>
        <v>9001102691012026M05</v>
      </c>
      <c r="B2338">
        <v>51321001</v>
      </c>
      <c r="C2338">
        <v>26</v>
      </c>
      <c r="D2338">
        <v>900110</v>
      </c>
      <c r="E2338">
        <v>269101</v>
      </c>
      <c r="F2338" t="s">
        <v>115</v>
      </c>
      <c r="G2338" t="s">
        <v>67</v>
      </c>
      <c r="H2338">
        <v>214859.95</v>
      </c>
      <c r="I2338">
        <v>214859.95</v>
      </c>
      <c r="J2338">
        <v>0</v>
      </c>
      <c r="K2338">
        <v>0</v>
      </c>
      <c r="L2338">
        <v>0</v>
      </c>
    </row>
    <row r="2339" spans="1:12" x14ac:dyDescent="0.25">
      <c r="A2339" t="str">
        <f t="shared" si="36"/>
        <v>9001102691012026M06</v>
      </c>
      <c r="B2339">
        <v>51321001</v>
      </c>
      <c r="C2339">
        <v>26</v>
      </c>
      <c r="D2339">
        <v>900110</v>
      </c>
      <c r="E2339">
        <v>269101</v>
      </c>
      <c r="F2339" t="s">
        <v>115</v>
      </c>
      <c r="G2339" t="s">
        <v>68</v>
      </c>
      <c r="H2339">
        <v>214859.95</v>
      </c>
      <c r="I2339">
        <v>214859.95</v>
      </c>
      <c r="J2339">
        <v>0</v>
      </c>
      <c r="K2339">
        <v>0</v>
      </c>
      <c r="L2339">
        <v>0</v>
      </c>
    </row>
    <row r="2340" spans="1:12" x14ac:dyDescent="0.25">
      <c r="A2340" t="str">
        <f t="shared" si="36"/>
        <v>9001102691012026M07</v>
      </c>
      <c r="B2340">
        <v>51321001</v>
      </c>
      <c r="C2340">
        <v>26</v>
      </c>
      <c r="D2340">
        <v>900110</v>
      </c>
      <c r="E2340">
        <v>269101</v>
      </c>
      <c r="F2340" t="s">
        <v>115</v>
      </c>
      <c r="G2340" t="s">
        <v>69</v>
      </c>
      <c r="H2340">
        <v>214859.95</v>
      </c>
      <c r="I2340">
        <v>214859.95</v>
      </c>
      <c r="J2340">
        <v>0</v>
      </c>
      <c r="K2340">
        <v>0</v>
      </c>
      <c r="L2340">
        <v>0</v>
      </c>
    </row>
    <row r="2341" spans="1:12" x14ac:dyDescent="0.25">
      <c r="A2341" t="str">
        <f t="shared" si="36"/>
        <v>9001102691012026M08</v>
      </c>
      <c r="B2341">
        <v>51321001</v>
      </c>
      <c r="C2341">
        <v>26</v>
      </c>
      <c r="D2341">
        <v>900110</v>
      </c>
      <c r="E2341">
        <v>269101</v>
      </c>
      <c r="F2341" t="s">
        <v>115</v>
      </c>
      <c r="G2341" t="s">
        <v>70</v>
      </c>
      <c r="H2341">
        <v>214859.95</v>
      </c>
      <c r="I2341">
        <v>214859.95</v>
      </c>
      <c r="J2341">
        <v>0</v>
      </c>
      <c r="K2341">
        <v>0</v>
      </c>
      <c r="L2341">
        <v>0</v>
      </c>
    </row>
    <row r="2342" spans="1:12" x14ac:dyDescent="0.25">
      <c r="A2342" t="str">
        <f t="shared" si="36"/>
        <v>9001102691012026M09</v>
      </c>
      <c r="B2342">
        <v>51321001</v>
      </c>
      <c r="C2342">
        <v>26</v>
      </c>
      <c r="D2342">
        <v>900110</v>
      </c>
      <c r="E2342">
        <v>269101</v>
      </c>
      <c r="F2342" t="s">
        <v>115</v>
      </c>
      <c r="G2342" t="s">
        <v>71</v>
      </c>
      <c r="H2342">
        <v>214859.95</v>
      </c>
      <c r="I2342">
        <v>214859.95</v>
      </c>
      <c r="J2342">
        <v>0</v>
      </c>
      <c r="K2342">
        <v>0</v>
      </c>
      <c r="L2342">
        <v>0</v>
      </c>
    </row>
    <row r="2343" spans="1:12" x14ac:dyDescent="0.25">
      <c r="A2343" t="str">
        <f t="shared" si="36"/>
        <v>9001102691012026M10</v>
      </c>
      <c r="B2343">
        <v>51321001</v>
      </c>
      <c r="C2343">
        <v>26</v>
      </c>
      <c r="D2343">
        <v>900110</v>
      </c>
      <c r="E2343">
        <v>269101</v>
      </c>
      <c r="F2343" t="s">
        <v>115</v>
      </c>
      <c r="G2343" t="s">
        <v>72</v>
      </c>
      <c r="H2343">
        <v>215184.4</v>
      </c>
      <c r="I2343">
        <v>214859.95</v>
      </c>
      <c r="J2343">
        <v>322.64999999999998</v>
      </c>
      <c r="K2343">
        <v>0</v>
      </c>
      <c r="L2343">
        <v>1.8</v>
      </c>
    </row>
    <row r="2344" spans="1:12" x14ac:dyDescent="0.25">
      <c r="A2344" t="str">
        <f t="shared" si="36"/>
        <v>9001102691012026M11</v>
      </c>
      <c r="B2344">
        <v>51321001</v>
      </c>
      <c r="C2344">
        <v>26</v>
      </c>
      <c r="D2344">
        <v>900110</v>
      </c>
      <c r="E2344">
        <v>269101</v>
      </c>
      <c r="F2344" t="s">
        <v>115</v>
      </c>
      <c r="G2344" t="s">
        <v>73</v>
      </c>
      <c r="H2344">
        <v>214896</v>
      </c>
      <c r="I2344">
        <v>0</v>
      </c>
      <c r="J2344">
        <v>214895.8</v>
      </c>
      <c r="K2344">
        <v>0</v>
      </c>
      <c r="L2344">
        <v>0.2</v>
      </c>
    </row>
    <row r="2345" spans="1:12" x14ac:dyDescent="0.25">
      <c r="A2345" t="str">
        <f t="shared" si="36"/>
        <v>9001102691012026M12</v>
      </c>
      <c r="B2345">
        <v>51321001</v>
      </c>
      <c r="C2345">
        <v>26</v>
      </c>
      <c r="D2345">
        <v>900110</v>
      </c>
      <c r="E2345">
        <v>269101</v>
      </c>
      <c r="F2345" t="s">
        <v>115</v>
      </c>
      <c r="G2345" t="s">
        <v>74</v>
      </c>
      <c r="H2345">
        <v>429792</v>
      </c>
      <c r="I2345">
        <v>0</v>
      </c>
      <c r="J2345">
        <v>429791.6</v>
      </c>
      <c r="K2345">
        <v>0</v>
      </c>
      <c r="L2345">
        <v>0.4</v>
      </c>
    </row>
    <row r="2346" spans="1:12" x14ac:dyDescent="0.25">
      <c r="A2346" t="str">
        <f t="shared" si="36"/>
        <v>9001102691022026M02</v>
      </c>
      <c r="B2346">
        <v>51321001</v>
      </c>
      <c r="C2346">
        <v>26</v>
      </c>
      <c r="D2346">
        <v>900110</v>
      </c>
      <c r="E2346">
        <v>269102</v>
      </c>
      <c r="F2346" t="s">
        <v>115</v>
      </c>
      <c r="G2346" t="s">
        <v>64</v>
      </c>
      <c r="H2346">
        <v>0</v>
      </c>
      <c r="I2346">
        <v>0</v>
      </c>
      <c r="J2346">
        <v>0</v>
      </c>
      <c r="K2346">
        <v>0</v>
      </c>
      <c r="L2346">
        <v>0</v>
      </c>
    </row>
    <row r="2347" spans="1:12" x14ac:dyDescent="0.25">
      <c r="A2347" t="str">
        <f t="shared" si="36"/>
        <v>9001102691022026M03</v>
      </c>
      <c r="B2347">
        <v>51321001</v>
      </c>
      <c r="C2347">
        <v>26</v>
      </c>
      <c r="D2347">
        <v>900110</v>
      </c>
      <c r="E2347">
        <v>269102</v>
      </c>
      <c r="F2347" t="s">
        <v>115</v>
      </c>
      <c r="G2347" t="s">
        <v>65</v>
      </c>
      <c r="H2347">
        <v>579999.69999999995</v>
      </c>
      <c r="I2347">
        <v>579999.69999999995</v>
      </c>
      <c r="J2347">
        <v>0</v>
      </c>
      <c r="K2347">
        <v>0</v>
      </c>
      <c r="L2347">
        <v>0</v>
      </c>
    </row>
    <row r="2348" spans="1:12" x14ac:dyDescent="0.25">
      <c r="A2348" t="str">
        <f t="shared" si="36"/>
        <v>9001102691022026M04</v>
      </c>
      <c r="B2348">
        <v>51321001</v>
      </c>
      <c r="C2348">
        <v>26</v>
      </c>
      <c r="D2348">
        <v>900110</v>
      </c>
      <c r="E2348">
        <v>269102</v>
      </c>
      <c r="F2348" t="s">
        <v>115</v>
      </c>
      <c r="G2348" t="s">
        <v>66</v>
      </c>
      <c r="H2348">
        <v>289999.84999999998</v>
      </c>
      <c r="I2348">
        <v>289999.84999999998</v>
      </c>
      <c r="J2348">
        <v>0</v>
      </c>
      <c r="K2348">
        <v>0</v>
      </c>
      <c r="L2348">
        <v>0</v>
      </c>
    </row>
    <row r="2349" spans="1:12" x14ac:dyDescent="0.25">
      <c r="A2349" t="str">
        <f t="shared" si="36"/>
        <v>9001102691022026M05</v>
      </c>
      <c r="B2349">
        <v>51321001</v>
      </c>
      <c r="C2349">
        <v>26</v>
      </c>
      <c r="D2349">
        <v>900110</v>
      </c>
      <c r="E2349">
        <v>269102</v>
      </c>
      <c r="F2349" t="s">
        <v>115</v>
      </c>
      <c r="G2349" t="s">
        <v>67</v>
      </c>
      <c r="H2349">
        <v>289999.84999999998</v>
      </c>
      <c r="I2349">
        <v>289999.84999999998</v>
      </c>
      <c r="J2349">
        <v>0</v>
      </c>
      <c r="K2349">
        <v>0</v>
      </c>
      <c r="L2349">
        <v>0</v>
      </c>
    </row>
    <row r="2350" spans="1:12" x14ac:dyDescent="0.25">
      <c r="A2350" t="str">
        <f t="shared" si="36"/>
        <v>9001102691022026M06</v>
      </c>
      <c r="B2350">
        <v>51321001</v>
      </c>
      <c r="C2350">
        <v>26</v>
      </c>
      <c r="D2350">
        <v>900110</v>
      </c>
      <c r="E2350">
        <v>269102</v>
      </c>
      <c r="F2350" t="s">
        <v>115</v>
      </c>
      <c r="G2350" t="s">
        <v>68</v>
      </c>
      <c r="H2350">
        <v>289999.84999999998</v>
      </c>
      <c r="I2350">
        <v>289999.84999999998</v>
      </c>
      <c r="J2350">
        <v>0</v>
      </c>
      <c r="K2350">
        <v>0</v>
      </c>
      <c r="L2350">
        <v>0</v>
      </c>
    </row>
    <row r="2351" spans="1:12" x14ac:dyDescent="0.25">
      <c r="A2351" t="str">
        <f t="shared" si="36"/>
        <v>9001102691022026M07</v>
      </c>
      <c r="B2351">
        <v>51321001</v>
      </c>
      <c r="C2351">
        <v>26</v>
      </c>
      <c r="D2351">
        <v>900110</v>
      </c>
      <c r="E2351">
        <v>269102</v>
      </c>
      <c r="F2351" t="s">
        <v>115</v>
      </c>
      <c r="G2351" t="s">
        <v>69</v>
      </c>
      <c r="H2351">
        <v>289999.84999999998</v>
      </c>
      <c r="I2351">
        <v>289999.84999999998</v>
      </c>
      <c r="J2351">
        <v>0</v>
      </c>
      <c r="K2351">
        <v>0</v>
      </c>
      <c r="L2351">
        <v>0</v>
      </c>
    </row>
    <row r="2352" spans="1:12" x14ac:dyDescent="0.25">
      <c r="A2352" t="str">
        <f t="shared" si="36"/>
        <v>9001102691022026M08</v>
      </c>
      <c r="B2352">
        <v>51321001</v>
      </c>
      <c r="C2352">
        <v>26</v>
      </c>
      <c r="D2352">
        <v>900110</v>
      </c>
      <c r="E2352">
        <v>269102</v>
      </c>
      <c r="F2352" t="s">
        <v>115</v>
      </c>
      <c r="G2352" t="s">
        <v>70</v>
      </c>
      <c r="H2352">
        <v>0</v>
      </c>
      <c r="I2352">
        <v>0</v>
      </c>
      <c r="J2352">
        <v>0</v>
      </c>
      <c r="K2352">
        <v>0</v>
      </c>
      <c r="L2352">
        <v>0</v>
      </c>
    </row>
    <row r="2353" spans="1:12" x14ac:dyDescent="0.25">
      <c r="A2353" t="str">
        <f t="shared" si="36"/>
        <v>9001102691022026M09</v>
      </c>
      <c r="B2353">
        <v>51321001</v>
      </c>
      <c r="C2353">
        <v>26</v>
      </c>
      <c r="D2353">
        <v>900110</v>
      </c>
      <c r="E2353">
        <v>269102</v>
      </c>
      <c r="F2353" t="s">
        <v>115</v>
      </c>
      <c r="G2353" t="s">
        <v>71</v>
      </c>
      <c r="H2353">
        <v>672799.64</v>
      </c>
      <c r="I2353">
        <v>672799.64</v>
      </c>
      <c r="J2353">
        <v>0</v>
      </c>
      <c r="K2353">
        <v>0</v>
      </c>
      <c r="L2353">
        <v>0</v>
      </c>
    </row>
    <row r="2354" spans="1:12" x14ac:dyDescent="0.25">
      <c r="A2354" t="str">
        <f t="shared" si="36"/>
        <v>9001102691022026M10</v>
      </c>
      <c r="B2354">
        <v>51321001</v>
      </c>
      <c r="C2354">
        <v>26</v>
      </c>
      <c r="D2354">
        <v>900110</v>
      </c>
      <c r="E2354">
        <v>269102</v>
      </c>
      <c r="F2354" t="s">
        <v>115</v>
      </c>
      <c r="G2354" t="s">
        <v>72</v>
      </c>
      <c r="H2354">
        <v>336401.26</v>
      </c>
      <c r="I2354">
        <v>336399.82</v>
      </c>
      <c r="J2354">
        <v>1.44</v>
      </c>
      <c r="K2354">
        <v>0</v>
      </c>
      <c r="L2354">
        <v>0</v>
      </c>
    </row>
    <row r="2355" spans="1:12" x14ac:dyDescent="0.25">
      <c r="A2355" t="str">
        <f t="shared" si="36"/>
        <v>9001102691022026M11</v>
      </c>
      <c r="B2355">
        <v>51321001</v>
      </c>
      <c r="C2355">
        <v>26</v>
      </c>
      <c r="D2355">
        <v>900110</v>
      </c>
      <c r="E2355">
        <v>269102</v>
      </c>
      <c r="F2355" t="s">
        <v>115</v>
      </c>
      <c r="G2355" t="s">
        <v>73</v>
      </c>
      <c r="H2355">
        <v>336400</v>
      </c>
      <c r="I2355">
        <v>0</v>
      </c>
      <c r="J2355">
        <v>336400</v>
      </c>
      <c r="K2355">
        <v>0</v>
      </c>
      <c r="L2355">
        <v>0</v>
      </c>
    </row>
    <row r="2356" spans="1:12" x14ac:dyDescent="0.25">
      <c r="A2356" t="str">
        <f t="shared" si="36"/>
        <v>9001102691022026M12</v>
      </c>
      <c r="B2356">
        <v>51321001</v>
      </c>
      <c r="C2356">
        <v>26</v>
      </c>
      <c r="D2356">
        <v>900110</v>
      </c>
      <c r="E2356">
        <v>269102</v>
      </c>
      <c r="F2356" t="s">
        <v>115</v>
      </c>
      <c r="G2356" t="s">
        <v>74</v>
      </c>
      <c r="H2356">
        <v>672800</v>
      </c>
      <c r="I2356">
        <v>0</v>
      </c>
      <c r="J2356">
        <v>672800</v>
      </c>
      <c r="K2356">
        <v>0</v>
      </c>
      <c r="L2356">
        <v>0</v>
      </c>
    </row>
    <row r="2357" spans="1:12" x14ac:dyDescent="0.25">
      <c r="A2357" t="str">
        <f t="shared" si="36"/>
        <v>9001102691032026M02</v>
      </c>
      <c r="B2357">
        <v>51321001</v>
      </c>
      <c r="C2357">
        <v>26</v>
      </c>
      <c r="D2357">
        <v>900110</v>
      </c>
      <c r="E2357">
        <v>269103</v>
      </c>
      <c r="F2357" t="s">
        <v>115</v>
      </c>
      <c r="G2357" t="s">
        <v>64</v>
      </c>
      <c r="H2357">
        <v>0</v>
      </c>
      <c r="I2357">
        <v>0</v>
      </c>
      <c r="J2357">
        <v>0</v>
      </c>
      <c r="K2357">
        <v>0</v>
      </c>
      <c r="L2357">
        <v>0</v>
      </c>
    </row>
    <row r="2358" spans="1:12" x14ac:dyDescent="0.25">
      <c r="A2358" t="str">
        <f t="shared" si="36"/>
        <v>9001102691032026M03</v>
      </c>
      <c r="B2358">
        <v>51321001</v>
      </c>
      <c r="C2358">
        <v>26</v>
      </c>
      <c r="D2358">
        <v>900110</v>
      </c>
      <c r="E2358">
        <v>269103</v>
      </c>
      <c r="F2358" t="s">
        <v>115</v>
      </c>
      <c r="G2358" t="s">
        <v>65</v>
      </c>
      <c r="H2358">
        <v>99513.72</v>
      </c>
      <c r="I2358">
        <v>99513.72</v>
      </c>
      <c r="J2358">
        <v>0</v>
      </c>
      <c r="K2358">
        <v>0</v>
      </c>
      <c r="L2358">
        <v>0</v>
      </c>
    </row>
    <row r="2359" spans="1:12" x14ac:dyDescent="0.25">
      <c r="A2359" t="str">
        <f t="shared" si="36"/>
        <v>9001102691032026M04</v>
      </c>
      <c r="B2359">
        <v>51321001</v>
      </c>
      <c r="C2359">
        <v>26</v>
      </c>
      <c r="D2359">
        <v>900110</v>
      </c>
      <c r="E2359">
        <v>269103</v>
      </c>
      <c r="F2359" t="s">
        <v>115</v>
      </c>
      <c r="G2359" t="s">
        <v>66</v>
      </c>
      <c r="H2359">
        <v>49756.86</v>
      </c>
      <c r="I2359">
        <v>49756.86</v>
      </c>
      <c r="J2359">
        <v>0</v>
      </c>
      <c r="K2359">
        <v>0</v>
      </c>
      <c r="L2359">
        <v>0</v>
      </c>
    </row>
    <row r="2360" spans="1:12" x14ac:dyDescent="0.25">
      <c r="A2360" t="str">
        <f t="shared" si="36"/>
        <v>9001102691032026M05</v>
      </c>
      <c r="B2360">
        <v>51321001</v>
      </c>
      <c r="C2360">
        <v>26</v>
      </c>
      <c r="D2360">
        <v>900110</v>
      </c>
      <c r="E2360">
        <v>269103</v>
      </c>
      <c r="F2360" t="s">
        <v>115</v>
      </c>
      <c r="G2360" t="s">
        <v>67</v>
      </c>
      <c r="H2360">
        <v>49756.86</v>
      </c>
      <c r="I2360">
        <v>49756.86</v>
      </c>
      <c r="J2360">
        <v>0</v>
      </c>
      <c r="K2360">
        <v>0</v>
      </c>
      <c r="L2360">
        <v>0</v>
      </c>
    </row>
    <row r="2361" spans="1:12" x14ac:dyDescent="0.25">
      <c r="A2361" t="str">
        <f t="shared" si="36"/>
        <v>9001102691032026M06</v>
      </c>
      <c r="B2361">
        <v>51321001</v>
      </c>
      <c r="C2361">
        <v>26</v>
      </c>
      <c r="D2361">
        <v>900110</v>
      </c>
      <c r="E2361">
        <v>269103</v>
      </c>
      <c r="F2361" t="s">
        <v>115</v>
      </c>
      <c r="G2361" t="s">
        <v>68</v>
      </c>
      <c r="H2361">
        <v>49756.86</v>
      </c>
      <c r="I2361">
        <v>49756.86</v>
      </c>
      <c r="J2361">
        <v>0</v>
      </c>
      <c r="K2361">
        <v>0</v>
      </c>
      <c r="L2361">
        <v>0</v>
      </c>
    </row>
    <row r="2362" spans="1:12" x14ac:dyDescent="0.25">
      <c r="A2362" t="str">
        <f t="shared" si="36"/>
        <v>9001102691032026M07</v>
      </c>
      <c r="B2362">
        <v>51321001</v>
      </c>
      <c r="C2362">
        <v>26</v>
      </c>
      <c r="D2362">
        <v>900110</v>
      </c>
      <c r="E2362">
        <v>269103</v>
      </c>
      <c r="F2362" t="s">
        <v>115</v>
      </c>
      <c r="G2362" t="s">
        <v>69</v>
      </c>
      <c r="H2362">
        <v>49756.86</v>
      </c>
      <c r="I2362">
        <v>49756.86</v>
      </c>
      <c r="J2362">
        <v>0</v>
      </c>
      <c r="K2362">
        <v>0</v>
      </c>
      <c r="L2362">
        <v>0</v>
      </c>
    </row>
    <row r="2363" spans="1:12" x14ac:dyDescent="0.25">
      <c r="A2363" t="str">
        <f t="shared" si="36"/>
        <v>9001102691032026M08</v>
      </c>
      <c r="B2363">
        <v>51321001</v>
      </c>
      <c r="C2363">
        <v>26</v>
      </c>
      <c r="D2363">
        <v>900110</v>
      </c>
      <c r="E2363">
        <v>269103</v>
      </c>
      <c r="F2363" t="s">
        <v>115</v>
      </c>
      <c r="G2363" t="s">
        <v>70</v>
      </c>
      <c r="H2363">
        <v>49756.86</v>
      </c>
      <c r="I2363">
        <v>49756.86</v>
      </c>
      <c r="J2363">
        <v>0</v>
      </c>
      <c r="K2363">
        <v>0</v>
      </c>
      <c r="L2363">
        <v>0</v>
      </c>
    </row>
    <row r="2364" spans="1:12" x14ac:dyDescent="0.25">
      <c r="A2364" t="str">
        <f t="shared" si="36"/>
        <v>9001102691032026M09</v>
      </c>
      <c r="B2364">
        <v>51321001</v>
      </c>
      <c r="C2364">
        <v>26</v>
      </c>
      <c r="D2364">
        <v>900110</v>
      </c>
      <c r="E2364">
        <v>269103</v>
      </c>
      <c r="F2364" t="s">
        <v>115</v>
      </c>
      <c r="G2364" t="s">
        <v>71</v>
      </c>
      <c r="H2364">
        <v>49756.86</v>
      </c>
      <c r="I2364">
        <v>49756.86</v>
      </c>
      <c r="J2364">
        <v>0</v>
      </c>
      <c r="K2364">
        <v>0</v>
      </c>
      <c r="L2364">
        <v>0</v>
      </c>
    </row>
    <row r="2365" spans="1:12" x14ac:dyDescent="0.25">
      <c r="A2365" t="str">
        <f t="shared" si="36"/>
        <v>9001102691032026M10</v>
      </c>
      <c r="B2365">
        <v>51321001</v>
      </c>
      <c r="C2365">
        <v>26</v>
      </c>
      <c r="D2365">
        <v>900110</v>
      </c>
      <c r="E2365">
        <v>269103</v>
      </c>
      <c r="F2365" t="s">
        <v>115</v>
      </c>
      <c r="G2365" t="s">
        <v>72</v>
      </c>
      <c r="H2365">
        <v>49757.13</v>
      </c>
      <c r="I2365">
        <v>49756.86</v>
      </c>
      <c r="J2365">
        <v>0.27</v>
      </c>
      <c r="K2365">
        <v>0</v>
      </c>
      <c r="L2365">
        <v>0</v>
      </c>
    </row>
    <row r="2366" spans="1:12" x14ac:dyDescent="0.25">
      <c r="A2366" t="str">
        <f t="shared" si="36"/>
        <v>9001102691032026M11</v>
      </c>
      <c r="B2366">
        <v>51321001</v>
      </c>
      <c r="C2366">
        <v>26</v>
      </c>
      <c r="D2366">
        <v>900110</v>
      </c>
      <c r="E2366">
        <v>269103</v>
      </c>
      <c r="F2366" t="s">
        <v>115</v>
      </c>
      <c r="G2366" t="s">
        <v>73</v>
      </c>
      <c r="H2366">
        <v>49756.89</v>
      </c>
      <c r="I2366">
        <v>0</v>
      </c>
      <c r="J2366">
        <v>49756.89</v>
      </c>
      <c r="K2366">
        <v>0</v>
      </c>
      <c r="L2366">
        <v>0</v>
      </c>
    </row>
    <row r="2367" spans="1:12" x14ac:dyDescent="0.25">
      <c r="A2367" t="str">
        <f t="shared" si="36"/>
        <v>9001102691032026M12</v>
      </c>
      <c r="B2367">
        <v>51321001</v>
      </c>
      <c r="C2367">
        <v>26</v>
      </c>
      <c r="D2367">
        <v>900110</v>
      </c>
      <c r="E2367">
        <v>269103</v>
      </c>
      <c r="F2367" t="s">
        <v>115</v>
      </c>
      <c r="G2367" t="s">
        <v>74</v>
      </c>
      <c r="H2367">
        <v>99513.78</v>
      </c>
      <c r="I2367">
        <v>0</v>
      </c>
      <c r="J2367">
        <v>99513.78</v>
      </c>
      <c r="K2367">
        <v>0</v>
      </c>
      <c r="L2367">
        <v>0</v>
      </c>
    </row>
    <row r="2368" spans="1:12" x14ac:dyDescent="0.25">
      <c r="A2368" t="str">
        <f t="shared" si="36"/>
        <v>9202012681032026M02</v>
      </c>
      <c r="B2368">
        <v>51321001</v>
      </c>
      <c r="C2368">
        <v>26</v>
      </c>
      <c r="D2368">
        <v>920201</v>
      </c>
      <c r="E2368">
        <v>268103</v>
      </c>
      <c r="F2368" t="s">
        <v>115</v>
      </c>
      <c r="G2368" t="s">
        <v>64</v>
      </c>
      <c r="H2368">
        <v>0</v>
      </c>
      <c r="I2368">
        <v>0</v>
      </c>
      <c r="J2368">
        <v>0</v>
      </c>
      <c r="K2368">
        <v>0</v>
      </c>
      <c r="L2368">
        <v>0</v>
      </c>
    </row>
    <row r="2369" spans="1:12" x14ac:dyDescent="0.25">
      <c r="A2369" t="str">
        <f t="shared" si="36"/>
        <v>9202012681032026M03</v>
      </c>
      <c r="B2369">
        <v>51321001</v>
      </c>
      <c r="C2369">
        <v>26</v>
      </c>
      <c r="D2369">
        <v>920201</v>
      </c>
      <c r="E2369">
        <v>268103</v>
      </c>
      <c r="F2369" t="s">
        <v>115</v>
      </c>
      <c r="G2369" t="s">
        <v>65</v>
      </c>
      <c r="H2369">
        <v>60320</v>
      </c>
      <c r="I2369">
        <v>60320</v>
      </c>
      <c r="J2369">
        <v>0</v>
      </c>
      <c r="K2369">
        <v>0</v>
      </c>
      <c r="L2369">
        <v>0</v>
      </c>
    </row>
    <row r="2370" spans="1:12" x14ac:dyDescent="0.25">
      <c r="A2370" t="str">
        <f t="shared" si="36"/>
        <v>9202012681032026M04</v>
      </c>
      <c r="B2370">
        <v>51321001</v>
      </c>
      <c r="C2370">
        <v>26</v>
      </c>
      <c r="D2370">
        <v>920201</v>
      </c>
      <c r="E2370">
        <v>268103</v>
      </c>
      <c r="F2370" t="s">
        <v>115</v>
      </c>
      <c r="G2370" t="s">
        <v>66</v>
      </c>
      <c r="H2370">
        <v>30160</v>
      </c>
      <c r="I2370">
        <v>30160</v>
      </c>
      <c r="J2370">
        <v>0</v>
      </c>
      <c r="K2370">
        <v>0</v>
      </c>
      <c r="L2370">
        <v>0</v>
      </c>
    </row>
    <row r="2371" spans="1:12" x14ac:dyDescent="0.25">
      <c r="A2371" t="str">
        <f t="shared" si="36"/>
        <v>9202012681032026M05</v>
      </c>
      <c r="B2371">
        <v>51321001</v>
      </c>
      <c r="C2371">
        <v>26</v>
      </c>
      <c r="D2371">
        <v>920201</v>
      </c>
      <c r="E2371">
        <v>268103</v>
      </c>
      <c r="F2371" t="s">
        <v>115</v>
      </c>
      <c r="G2371" t="s">
        <v>67</v>
      </c>
      <c r="H2371">
        <v>30160</v>
      </c>
      <c r="I2371">
        <v>30160</v>
      </c>
      <c r="J2371">
        <v>0</v>
      </c>
      <c r="K2371">
        <v>0</v>
      </c>
      <c r="L2371">
        <v>0</v>
      </c>
    </row>
    <row r="2372" spans="1:12" x14ac:dyDescent="0.25">
      <c r="A2372" t="str">
        <f t="shared" si="36"/>
        <v>9202012681032026M06</v>
      </c>
      <c r="B2372">
        <v>51321001</v>
      </c>
      <c r="C2372">
        <v>26</v>
      </c>
      <c r="D2372">
        <v>920201</v>
      </c>
      <c r="E2372">
        <v>268103</v>
      </c>
      <c r="F2372" t="s">
        <v>115</v>
      </c>
      <c r="G2372" t="s">
        <v>68</v>
      </c>
      <c r="H2372">
        <v>30160</v>
      </c>
      <c r="I2372">
        <v>30160</v>
      </c>
      <c r="J2372">
        <v>0</v>
      </c>
      <c r="K2372">
        <v>0</v>
      </c>
      <c r="L2372">
        <v>0</v>
      </c>
    </row>
    <row r="2373" spans="1:12" x14ac:dyDescent="0.25">
      <c r="A2373" t="str">
        <f t="shared" si="36"/>
        <v>9202012681032026M07</v>
      </c>
      <c r="B2373">
        <v>51321001</v>
      </c>
      <c r="C2373">
        <v>26</v>
      </c>
      <c r="D2373">
        <v>920201</v>
      </c>
      <c r="E2373">
        <v>268103</v>
      </c>
      <c r="F2373" t="s">
        <v>115</v>
      </c>
      <c r="G2373" t="s">
        <v>69</v>
      </c>
      <c r="H2373">
        <v>30160</v>
      </c>
      <c r="I2373">
        <v>30160</v>
      </c>
      <c r="J2373">
        <v>0</v>
      </c>
      <c r="K2373">
        <v>0</v>
      </c>
      <c r="L2373">
        <v>0</v>
      </c>
    </row>
    <row r="2374" spans="1:12" x14ac:dyDescent="0.25">
      <c r="A2374" t="str">
        <f t="shared" si="36"/>
        <v>9202012681032026M08</v>
      </c>
      <c r="B2374">
        <v>51321001</v>
      </c>
      <c r="C2374">
        <v>26</v>
      </c>
      <c r="D2374">
        <v>920201</v>
      </c>
      <c r="E2374">
        <v>268103</v>
      </c>
      <c r="F2374" t="s">
        <v>115</v>
      </c>
      <c r="G2374" t="s">
        <v>70</v>
      </c>
      <c r="H2374">
        <v>30160</v>
      </c>
      <c r="I2374">
        <v>30160</v>
      </c>
      <c r="J2374">
        <v>0</v>
      </c>
      <c r="K2374">
        <v>0</v>
      </c>
      <c r="L2374">
        <v>0</v>
      </c>
    </row>
    <row r="2375" spans="1:12" x14ac:dyDescent="0.25">
      <c r="A2375" t="str">
        <f t="shared" si="36"/>
        <v>9202012681032026M09</v>
      </c>
      <c r="B2375">
        <v>51321001</v>
      </c>
      <c r="C2375">
        <v>26</v>
      </c>
      <c r="D2375">
        <v>920201</v>
      </c>
      <c r="E2375">
        <v>268103</v>
      </c>
      <c r="F2375" t="s">
        <v>115</v>
      </c>
      <c r="G2375" t="s">
        <v>71</v>
      </c>
      <c r="H2375">
        <v>30160</v>
      </c>
      <c r="I2375">
        <v>30160</v>
      </c>
      <c r="J2375">
        <v>0</v>
      </c>
      <c r="K2375">
        <v>0</v>
      </c>
      <c r="L2375">
        <v>0</v>
      </c>
    </row>
    <row r="2376" spans="1:12" x14ac:dyDescent="0.25">
      <c r="A2376" t="str">
        <f t="shared" si="36"/>
        <v>9202012681032026M10</v>
      </c>
      <c r="B2376">
        <v>51321001</v>
      </c>
      <c r="C2376">
        <v>26</v>
      </c>
      <c r="D2376">
        <v>920201</v>
      </c>
      <c r="E2376">
        <v>268103</v>
      </c>
      <c r="F2376" t="s">
        <v>115</v>
      </c>
      <c r="G2376" t="s">
        <v>72</v>
      </c>
      <c r="H2376">
        <v>30160</v>
      </c>
      <c r="I2376">
        <v>30160</v>
      </c>
      <c r="J2376">
        <v>0</v>
      </c>
      <c r="K2376">
        <v>0</v>
      </c>
      <c r="L2376">
        <v>0</v>
      </c>
    </row>
    <row r="2377" spans="1:12" x14ac:dyDescent="0.25">
      <c r="A2377" t="str">
        <f t="shared" si="36"/>
        <v>9202012681032026M11</v>
      </c>
      <c r="B2377">
        <v>51321001</v>
      </c>
      <c r="C2377">
        <v>26</v>
      </c>
      <c r="D2377">
        <v>920201</v>
      </c>
      <c r="E2377">
        <v>268103</v>
      </c>
      <c r="F2377" t="s">
        <v>115</v>
      </c>
      <c r="G2377" t="s">
        <v>73</v>
      </c>
      <c r="H2377">
        <v>30160</v>
      </c>
      <c r="I2377">
        <v>0</v>
      </c>
      <c r="J2377">
        <v>30160</v>
      </c>
      <c r="K2377">
        <v>0</v>
      </c>
      <c r="L2377">
        <v>0</v>
      </c>
    </row>
    <row r="2378" spans="1:12" x14ac:dyDescent="0.25">
      <c r="A2378" t="str">
        <f t="shared" si="36"/>
        <v>9202012681032026M12</v>
      </c>
      <c r="B2378">
        <v>51321001</v>
      </c>
      <c r="C2378">
        <v>26</v>
      </c>
      <c r="D2378">
        <v>920201</v>
      </c>
      <c r="E2378">
        <v>268103</v>
      </c>
      <c r="F2378" t="s">
        <v>115</v>
      </c>
      <c r="G2378" t="s">
        <v>74</v>
      </c>
      <c r="H2378">
        <v>60320</v>
      </c>
      <c r="I2378">
        <v>0</v>
      </c>
      <c r="J2378">
        <v>60320</v>
      </c>
      <c r="K2378">
        <v>0</v>
      </c>
      <c r="L2378">
        <v>0</v>
      </c>
    </row>
    <row r="2379" spans="1:12" x14ac:dyDescent="0.25">
      <c r="A2379" t="str">
        <f t="shared" ref="A2379:A2442" si="37">D2379&amp;E2379&amp;G2379</f>
        <v>1009022724022026M02</v>
      </c>
      <c r="B2379">
        <v>51321001</v>
      </c>
      <c r="C2379">
        <v>27</v>
      </c>
      <c r="D2379">
        <v>100902</v>
      </c>
      <c r="E2379">
        <v>272402</v>
      </c>
      <c r="F2379" t="s">
        <v>115</v>
      </c>
      <c r="G2379" t="s">
        <v>64</v>
      </c>
      <c r="H2379">
        <v>428504</v>
      </c>
      <c r="I2379">
        <v>428504</v>
      </c>
      <c r="J2379">
        <v>0</v>
      </c>
      <c r="K2379">
        <v>0</v>
      </c>
      <c r="L2379">
        <v>0</v>
      </c>
    </row>
    <row r="2380" spans="1:12" x14ac:dyDescent="0.25">
      <c r="A2380" t="str">
        <f t="shared" si="37"/>
        <v>1009022724022026M03</v>
      </c>
      <c r="B2380">
        <v>51321001</v>
      </c>
      <c r="C2380">
        <v>27</v>
      </c>
      <c r="D2380">
        <v>100902</v>
      </c>
      <c r="E2380">
        <v>272402</v>
      </c>
      <c r="F2380" t="s">
        <v>115</v>
      </c>
      <c r="G2380" t="s">
        <v>65</v>
      </c>
      <c r="H2380">
        <v>428504</v>
      </c>
      <c r="I2380">
        <v>428504</v>
      </c>
      <c r="J2380">
        <v>0</v>
      </c>
      <c r="K2380">
        <v>0</v>
      </c>
      <c r="L2380">
        <v>0</v>
      </c>
    </row>
    <row r="2381" spans="1:12" x14ac:dyDescent="0.25">
      <c r="A2381" t="str">
        <f t="shared" si="37"/>
        <v>1009022724022026M04</v>
      </c>
      <c r="B2381">
        <v>51321001</v>
      </c>
      <c r="C2381">
        <v>27</v>
      </c>
      <c r="D2381">
        <v>100902</v>
      </c>
      <c r="E2381">
        <v>272402</v>
      </c>
      <c r="F2381" t="s">
        <v>115</v>
      </c>
      <c r="G2381" t="s">
        <v>66</v>
      </c>
      <c r="H2381">
        <v>428504</v>
      </c>
      <c r="I2381">
        <v>428504</v>
      </c>
      <c r="J2381">
        <v>0</v>
      </c>
      <c r="K2381">
        <v>0</v>
      </c>
      <c r="L2381">
        <v>0</v>
      </c>
    </row>
    <row r="2382" spans="1:12" x14ac:dyDescent="0.25">
      <c r="A2382" t="str">
        <f t="shared" si="37"/>
        <v>1009022724022026M05</v>
      </c>
      <c r="B2382">
        <v>51321001</v>
      </c>
      <c r="C2382">
        <v>27</v>
      </c>
      <c r="D2382">
        <v>100902</v>
      </c>
      <c r="E2382">
        <v>272402</v>
      </c>
      <c r="F2382" t="s">
        <v>115</v>
      </c>
      <c r="G2382" t="s">
        <v>67</v>
      </c>
      <c r="H2382">
        <v>428504</v>
      </c>
      <c r="I2382">
        <v>428504</v>
      </c>
      <c r="J2382">
        <v>0</v>
      </c>
      <c r="K2382">
        <v>0</v>
      </c>
      <c r="L2382">
        <v>0</v>
      </c>
    </row>
    <row r="2383" spans="1:12" x14ac:dyDescent="0.25">
      <c r="A2383" t="str">
        <f t="shared" si="37"/>
        <v>1009022724022026M06</v>
      </c>
      <c r="B2383">
        <v>51321001</v>
      </c>
      <c r="C2383">
        <v>27</v>
      </c>
      <c r="D2383">
        <v>100902</v>
      </c>
      <c r="E2383">
        <v>272402</v>
      </c>
      <c r="F2383" t="s">
        <v>115</v>
      </c>
      <c r="G2383" t="s">
        <v>68</v>
      </c>
      <c r="H2383">
        <v>428504</v>
      </c>
      <c r="I2383">
        <v>428504</v>
      </c>
      <c r="J2383">
        <v>0</v>
      </c>
      <c r="K2383">
        <v>0</v>
      </c>
      <c r="L2383">
        <v>0</v>
      </c>
    </row>
    <row r="2384" spans="1:12" x14ac:dyDescent="0.25">
      <c r="A2384" t="str">
        <f t="shared" si="37"/>
        <v>1009022724022026M07</v>
      </c>
      <c r="B2384">
        <v>51321001</v>
      </c>
      <c r="C2384">
        <v>27</v>
      </c>
      <c r="D2384">
        <v>100902</v>
      </c>
      <c r="E2384">
        <v>272402</v>
      </c>
      <c r="F2384" t="s">
        <v>115</v>
      </c>
      <c r="G2384" t="s">
        <v>69</v>
      </c>
      <c r="H2384">
        <v>428504</v>
      </c>
      <c r="I2384">
        <v>428504</v>
      </c>
      <c r="J2384">
        <v>0</v>
      </c>
      <c r="K2384">
        <v>0</v>
      </c>
      <c r="L2384">
        <v>0</v>
      </c>
    </row>
    <row r="2385" spans="1:12" x14ac:dyDescent="0.25">
      <c r="A2385" t="str">
        <f t="shared" si="37"/>
        <v>1009022724022026M08</v>
      </c>
      <c r="B2385">
        <v>51321001</v>
      </c>
      <c r="C2385">
        <v>27</v>
      </c>
      <c r="D2385">
        <v>100902</v>
      </c>
      <c r="E2385">
        <v>272402</v>
      </c>
      <c r="F2385" t="s">
        <v>115</v>
      </c>
      <c r="G2385" t="s">
        <v>70</v>
      </c>
      <c r="H2385">
        <v>428504</v>
      </c>
      <c r="I2385">
        <v>428504</v>
      </c>
      <c r="J2385">
        <v>0</v>
      </c>
      <c r="K2385">
        <v>0</v>
      </c>
      <c r="L2385">
        <v>0</v>
      </c>
    </row>
    <row r="2386" spans="1:12" x14ac:dyDescent="0.25">
      <c r="A2386" t="str">
        <f t="shared" si="37"/>
        <v>1009022724022026M09</v>
      </c>
      <c r="B2386">
        <v>51321001</v>
      </c>
      <c r="C2386">
        <v>27</v>
      </c>
      <c r="D2386">
        <v>100902</v>
      </c>
      <c r="E2386">
        <v>272402</v>
      </c>
      <c r="F2386" t="s">
        <v>115</v>
      </c>
      <c r="G2386" t="s">
        <v>71</v>
      </c>
      <c r="H2386">
        <v>428504</v>
      </c>
      <c r="I2386">
        <v>428504</v>
      </c>
      <c r="J2386">
        <v>0</v>
      </c>
      <c r="K2386">
        <v>0</v>
      </c>
      <c r="L2386">
        <v>0</v>
      </c>
    </row>
    <row r="2387" spans="1:12" x14ac:dyDescent="0.25">
      <c r="A2387" t="str">
        <f t="shared" si="37"/>
        <v>1009022724022026M10</v>
      </c>
      <c r="B2387">
        <v>51321001</v>
      </c>
      <c r="C2387">
        <v>27</v>
      </c>
      <c r="D2387">
        <v>100902</v>
      </c>
      <c r="E2387">
        <v>272402</v>
      </c>
      <c r="F2387" t="s">
        <v>115</v>
      </c>
      <c r="G2387" t="s">
        <v>72</v>
      </c>
      <c r="H2387">
        <v>428504</v>
      </c>
      <c r="I2387">
        <v>0</v>
      </c>
      <c r="J2387">
        <v>428504</v>
      </c>
      <c r="K2387">
        <v>0</v>
      </c>
      <c r="L2387">
        <v>0</v>
      </c>
    </row>
    <row r="2388" spans="1:12" x14ac:dyDescent="0.25">
      <c r="A2388" t="str">
        <f t="shared" si="37"/>
        <v>1009022724022026M11</v>
      </c>
      <c r="B2388">
        <v>51321001</v>
      </c>
      <c r="C2388">
        <v>27</v>
      </c>
      <c r="D2388">
        <v>100902</v>
      </c>
      <c r="E2388">
        <v>272402</v>
      </c>
      <c r="F2388" t="s">
        <v>115</v>
      </c>
      <c r="G2388" t="s">
        <v>73</v>
      </c>
      <c r="H2388">
        <v>428504</v>
      </c>
      <c r="I2388">
        <v>0</v>
      </c>
      <c r="J2388">
        <v>428504</v>
      </c>
      <c r="K2388">
        <v>0</v>
      </c>
      <c r="L2388">
        <v>0</v>
      </c>
    </row>
    <row r="2389" spans="1:12" x14ac:dyDescent="0.25">
      <c r="A2389" t="str">
        <f t="shared" si="37"/>
        <v>1009022724022026M12</v>
      </c>
      <c r="B2389">
        <v>51321001</v>
      </c>
      <c r="C2389">
        <v>27</v>
      </c>
      <c r="D2389">
        <v>100902</v>
      </c>
      <c r="E2389">
        <v>272402</v>
      </c>
      <c r="F2389" t="s">
        <v>115</v>
      </c>
      <c r="G2389" t="s">
        <v>74</v>
      </c>
      <c r="H2389">
        <v>857008</v>
      </c>
      <c r="I2389">
        <v>0</v>
      </c>
      <c r="J2389">
        <v>857008</v>
      </c>
      <c r="K2389">
        <v>0</v>
      </c>
      <c r="L2389">
        <v>0</v>
      </c>
    </row>
    <row r="2390" spans="1:12" x14ac:dyDescent="0.25">
      <c r="A2390" t="str">
        <f t="shared" si="37"/>
        <v>1009022724202026M02</v>
      </c>
      <c r="B2390">
        <v>51321001</v>
      </c>
      <c r="C2390">
        <v>27</v>
      </c>
      <c r="D2390">
        <v>100902</v>
      </c>
      <c r="E2390">
        <v>272420</v>
      </c>
      <c r="F2390" t="s">
        <v>115</v>
      </c>
      <c r="G2390" t="s">
        <v>64</v>
      </c>
      <c r="H2390">
        <v>0</v>
      </c>
      <c r="I2390">
        <v>0</v>
      </c>
      <c r="J2390">
        <v>0</v>
      </c>
      <c r="K2390">
        <v>0</v>
      </c>
      <c r="L2390">
        <v>0</v>
      </c>
    </row>
    <row r="2391" spans="1:12" x14ac:dyDescent="0.25">
      <c r="A2391" t="str">
        <f t="shared" si="37"/>
        <v>1009022724202026M03</v>
      </c>
      <c r="B2391">
        <v>51321001</v>
      </c>
      <c r="C2391">
        <v>27</v>
      </c>
      <c r="D2391">
        <v>100902</v>
      </c>
      <c r="E2391">
        <v>272420</v>
      </c>
      <c r="F2391" t="s">
        <v>115</v>
      </c>
      <c r="G2391" t="s">
        <v>65</v>
      </c>
      <c r="H2391">
        <v>10222</v>
      </c>
      <c r="I2391">
        <v>10222</v>
      </c>
      <c r="J2391">
        <v>0</v>
      </c>
      <c r="K2391">
        <v>0</v>
      </c>
      <c r="L2391">
        <v>0</v>
      </c>
    </row>
    <row r="2392" spans="1:12" x14ac:dyDescent="0.25">
      <c r="A2392" t="str">
        <f t="shared" si="37"/>
        <v>1009022724202026M04</v>
      </c>
      <c r="B2392">
        <v>51321001</v>
      </c>
      <c r="C2392">
        <v>27</v>
      </c>
      <c r="D2392">
        <v>100902</v>
      </c>
      <c r="E2392">
        <v>272420</v>
      </c>
      <c r="F2392" t="s">
        <v>115</v>
      </c>
      <c r="G2392" t="s">
        <v>66</v>
      </c>
      <c r="H2392">
        <v>0</v>
      </c>
      <c r="I2392">
        <v>0</v>
      </c>
      <c r="J2392">
        <v>0</v>
      </c>
      <c r="K2392">
        <v>0</v>
      </c>
      <c r="L2392">
        <v>0</v>
      </c>
    </row>
    <row r="2393" spans="1:12" x14ac:dyDescent="0.25">
      <c r="A2393" t="str">
        <f t="shared" si="37"/>
        <v>1009022724202026M05</v>
      </c>
      <c r="B2393">
        <v>51321001</v>
      </c>
      <c r="C2393">
        <v>27</v>
      </c>
      <c r="D2393">
        <v>100902</v>
      </c>
      <c r="E2393">
        <v>272420</v>
      </c>
      <c r="F2393" t="s">
        <v>115</v>
      </c>
      <c r="G2393" t="s">
        <v>67</v>
      </c>
      <c r="H2393">
        <v>10222</v>
      </c>
      <c r="I2393">
        <v>10222</v>
      </c>
      <c r="J2393">
        <v>0</v>
      </c>
      <c r="K2393">
        <v>0</v>
      </c>
      <c r="L2393">
        <v>0</v>
      </c>
    </row>
    <row r="2394" spans="1:12" x14ac:dyDescent="0.25">
      <c r="A2394" t="str">
        <f t="shared" si="37"/>
        <v>1009022724202026M06</v>
      </c>
      <c r="B2394">
        <v>51321001</v>
      </c>
      <c r="C2394">
        <v>27</v>
      </c>
      <c r="D2394">
        <v>100902</v>
      </c>
      <c r="E2394">
        <v>272420</v>
      </c>
      <c r="F2394" t="s">
        <v>115</v>
      </c>
      <c r="G2394" t="s">
        <v>68</v>
      </c>
      <c r="H2394">
        <v>0</v>
      </c>
      <c r="I2394">
        <v>0</v>
      </c>
      <c r="J2394">
        <v>0</v>
      </c>
      <c r="K2394">
        <v>0</v>
      </c>
      <c r="L2394">
        <v>0</v>
      </c>
    </row>
    <row r="2395" spans="1:12" x14ac:dyDescent="0.25">
      <c r="A2395" t="str">
        <f t="shared" si="37"/>
        <v>1009022724202026M07</v>
      </c>
      <c r="B2395">
        <v>51321001</v>
      </c>
      <c r="C2395">
        <v>27</v>
      </c>
      <c r="D2395">
        <v>100902</v>
      </c>
      <c r="E2395">
        <v>272420</v>
      </c>
      <c r="F2395" t="s">
        <v>115</v>
      </c>
      <c r="G2395" t="s">
        <v>69</v>
      </c>
      <c r="H2395">
        <v>10222</v>
      </c>
      <c r="I2395">
        <v>10222</v>
      </c>
      <c r="J2395">
        <v>0</v>
      </c>
      <c r="K2395">
        <v>0</v>
      </c>
      <c r="L2395">
        <v>0</v>
      </c>
    </row>
    <row r="2396" spans="1:12" x14ac:dyDescent="0.25">
      <c r="A2396" t="str">
        <f t="shared" si="37"/>
        <v>1009022724202026M08</v>
      </c>
      <c r="B2396">
        <v>51321001</v>
      </c>
      <c r="C2396">
        <v>27</v>
      </c>
      <c r="D2396">
        <v>100902</v>
      </c>
      <c r="E2396">
        <v>272420</v>
      </c>
      <c r="F2396" t="s">
        <v>115</v>
      </c>
      <c r="G2396" t="s">
        <v>70</v>
      </c>
      <c r="H2396">
        <v>0</v>
      </c>
      <c r="I2396">
        <v>0</v>
      </c>
      <c r="J2396">
        <v>0</v>
      </c>
      <c r="K2396">
        <v>0</v>
      </c>
      <c r="L2396">
        <v>0</v>
      </c>
    </row>
    <row r="2397" spans="1:12" x14ac:dyDescent="0.25">
      <c r="A2397" t="str">
        <f t="shared" si="37"/>
        <v>1009022724202026M09</v>
      </c>
      <c r="B2397">
        <v>51321001</v>
      </c>
      <c r="C2397">
        <v>27</v>
      </c>
      <c r="D2397">
        <v>100902</v>
      </c>
      <c r="E2397">
        <v>272420</v>
      </c>
      <c r="F2397" t="s">
        <v>115</v>
      </c>
      <c r="G2397" t="s">
        <v>71</v>
      </c>
      <c r="H2397">
        <v>10222</v>
      </c>
      <c r="I2397">
        <v>10222</v>
      </c>
      <c r="J2397">
        <v>0</v>
      </c>
      <c r="K2397">
        <v>0</v>
      </c>
      <c r="L2397">
        <v>0</v>
      </c>
    </row>
    <row r="2398" spans="1:12" x14ac:dyDescent="0.25">
      <c r="A2398" t="str">
        <f t="shared" si="37"/>
        <v>1009022724202026M10</v>
      </c>
      <c r="B2398">
        <v>51321001</v>
      </c>
      <c r="C2398">
        <v>27</v>
      </c>
      <c r="D2398">
        <v>100902</v>
      </c>
      <c r="E2398">
        <v>272420</v>
      </c>
      <c r="F2398" t="s">
        <v>115</v>
      </c>
      <c r="G2398" t="s">
        <v>72</v>
      </c>
      <c r="H2398">
        <v>5111</v>
      </c>
      <c r="I2398">
        <v>0</v>
      </c>
      <c r="J2398">
        <v>5111</v>
      </c>
      <c r="K2398">
        <v>0</v>
      </c>
      <c r="L2398">
        <v>0</v>
      </c>
    </row>
    <row r="2399" spans="1:12" x14ac:dyDescent="0.25">
      <c r="A2399" t="str">
        <f t="shared" si="37"/>
        <v>1009022724202026M11</v>
      </c>
      <c r="B2399">
        <v>51321001</v>
      </c>
      <c r="C2399">
        <v>27</v>
      </c>
      <c r="D2399">
        <v>100902</v>
      </c>
      <c r="E2399">
        <v>272420</v>
      </c>
      <c r="F2399" t="s">
        <v>115</v>
      </c>
      <c r="G2399" t="s">
        <v>73</v>
      </c>
      <c r="H2399">
        <v>5111</v>
      </c>
      <c r="I2399">
        <v>0</v>
      </c>
      <c r="J2399">
        <v>5111</v>
      </c>
      <c r="K2399">
        <v>0</v>
      </c>
      <c r="L2399">
        <v>0</v>
      </c>
    </row>
    <row r="2400" spans="1:12" x14ac:dyDescent="0.25">
      <c r="A2400" t="str">
        <f t="shared" si="37"/>
        <v>1009022724202026M12</v>
      </c>
      <c r="B2400">
        <v>51321001</v>
      </c>
      <c r="C2400">
        <v>27</v>
      </c>
      <c r="D2400">
        <v>100902</v>
      </c>
      <c r="E2400">
        <v>272420</v>
      </c>
      <c r="F2400" t="s">
        <v>115</v>
      </c>
      <c r="G2400" t="s">
        <v>74</v>
      </c>
      <c r="H2400">
        <v>10222</v>
      </c>
      <c r="I2400">
        <v>0</v>
      </c>
      <c r="J2400">
        <v>10222</v>
      </c>
      <c r="K2400">
        <v>0</v>
      </c>
      <c r="L2400">
        <v>0</v>
      </c>
    </row>
    <row r="2401" spans="1:12" x14ac:dyDescent="0.25">
      <c r="A2401" t="str">
        <f t="shared" si="37"/>
        <v>1009022724402026M02</v>
      </c>
      <c r="B2401">
        <v>51321001</v>
      </c>
      <c r="C2401">
        <v>27</v>
      </c>
      <c r="D2401">
        <v>100902</v>
      </c>
      <c r="E2401">
        <v>272440</v>
      </c>
      <c r="F2401" t="s">
        <v>115</v>
      </c>
      <c r="G2401" t="s">
        <v>64</v>
      </c>
      <c r="H2401">
        <v>0</v>
      </c>
      <c r="I2401">
        <v>0</v>
      </c>
      <c r="J2401">
        <v>0</v>
      </c>
      <c r="K2401">
        <v>0</v>
      </c>
      <c r="L2401">
        <v>0</v>
      </c>
    </row>
    <row r="2402" spans="1:12" x14ac:dyDescent="0.25">
      <c r="A2402" t="str">
        <f t="shared" si="37"/>
        <v>1009022724402026M03</v>
      </c>
      <c r="B2402">
        <v>51321001</v>
      </c>
      <c r="C2402">
        <v>27</v>
      </c>
      <c r="D2402">
        <v>100902</v>
      </c>
      <c r="E2402">
        <v>272440</v>
      </c>
      <c r="F2402" t="s">
        <v>115</v>
      </c>
      <c r="G2402" t="s">
        <v>65</v>
      </c>
      <c r="H2402">
        <v>0</v>
      </c>
      <c r="I2402">
        <v>0</v>
      </c>
      <c r="J2402">
        <v>0</v>
      </c>
      <c r="K2402">
        <v>0</v>
      </c>
      <c r="L2402">
        <v>0</v>
      </c>
    </row>
    <row r="2403" spans="1:12" x14ac:dyDescent="0.25">
      <c r="A2403" t="str">
        <f t="shared" si="37"/>
        <v>1009022724402026M04</v>
      </c>
      <c r="B2403">
        <v>51321001</v>
      </c>
      <c r="C2403">
        <v>27</v>
      </c>
      <c r="D2403">
        <v>100902</v>
      </c>
      <c r="E2403">
        <v>272440</v>
      </c>
      <c r="F2403" t="s">
        <v>115</v>
      </c>
      <c r="G2403" t="s">
        <v>66</v>
      </c>
      <c r="H2403">
        <v>0</v>
      </c>
      <c r="I2403">
        <v>0</v>
      </c>
      <c r="J2403">
        <v>0</v>
      </c>
      <c r="K2403">
        <v>0</v>
      </c>
      <c r="L2403">
        <v>0</v>
      </c>
    </row>
    <row r="2404" spans="1:12" x14ac:dyDescent="0.25">
      <c r="A2404" t="str">
        <f t="shared" si="37"/>
        <v>1009022724402026M05</v>
      </c>
      <c r="B2404">
        <v>51321001</v>
      </c>
      <c r="C2404">
        <v>27</v>
      </c>
      <c r="D2404">
        <v>100902</v>
      </c>
      <c r="E2404">
        <v>272440</v>
      </c>
      <c r="F2404" t="s">
        <v>115</v>
      </c>
      <c r="G2404" t="s">
        <v>67</v>
      </c>
      <c r="H2404">
        <v>0</v>
      </c>
      <c r="I2404">
        <v>0</v>
      </c>
      <c r="J2404">
        <v>0</v>
      </c>
      <c r="K2404">
        <v>0</v>
      </c>
      <c r="L2404">
        <v>0</v>
      </c>
    </row>
    <row r="2405" spans="1:12" x14ac:dyDescent="0.25">
      <c r="A2405" t="str">
        <f t="shared" si="37"/>
        <v>1009022724402026M06</v>
      </c>
      <c r="B2405">
        <v>51321001</v>
      </c>
      <c r="C2405">
        <v>27</v>
      </c>
      <c r="D2405">
        <v>100902</v>
      </c>
      <c r="E2405">
        <v>272440</v>
      </c>
      <c r="F2405" t="s">
        <v>115</v>
      </c>
      <c r="G2405" t="s">
        <v>68</v>
      </c>
      <c r="H2405">
        <v>0</v>
      </c>
      <c r="I2405">
        <v>0</v>
      </c>
      <c r="J2405">
        <v>0</v>
      </c>
      <c r="K2405">
        <v>0</v>
      </c>
      <c r="L2405">
        <v>0</v>
      </c>
    </row>
    <row r="2406" spans="1:12" x14ac:dyDescent="0.25">
      <c r="A2406" t="str">
        <f t="shared" si="37"/>
        <v>1009022724402026M07</v>
      </c>
      <c r="B2406">
        <v>51321001</v>
      </c>
      <c r="C2406">
        <v>27</v>
      </c>
      <c r="D2406">
        <v>100902</v>
      </c>
      <c r="E2406">
        <v>272440</v>
      </c>
      <c r="F2406" t="s">
        <v>115</v>
      </c>
      <c r="G2406" t="s">
        <v>69</v>
      </c>
      <c r="H2406">
        <v>22272</v>
      </c>
      <c r="I2406">
        <v>22272</v>
      </c>
      <c r="J2406">
        <v>0</v>
      </c>
      <c r="K2406">
        <v>0</v>
      </c>
      <c r="L2406">
        <v>0</v>
      </c>
    </row>
    <row r="2407" spans="1:12" x14ac:dyDescent="0.25">
      <c r="A2407" t="str">
        <f t="shared" si="37"/>
        <v>1009022724402026M08</v>
      </c>
      <c r="B2407">
        <v>51321001</v>
      </c>
      <c r="C2407">
        <v>27</v>
      </c>
      <c r="D2407">
        <v>100902</v>
      </c>
      <c r="E2407">
        <v>272440</v>
      </c>
      <c r="F2407" t="s">
        <v>115</v>
      </c>
      <c r="G2407" t="s">
        <v>70</v>
      </c>
      <c r="H2407">
        <v>3712</v>
      </c>
      <c r="I2407">
        <v>3712</v>
      </c>
      <c r="J2407">
        <v>0</v>
      </c>
      <c r="K2407">
        <v>0</v>
      </c>
      <c r="L2407">
        <v>0</v>
      </c>
    </row>
    <row r="2408" spans="1:12" x14ac:dyDescent="0.25">
      <c r="A2408" t="str">
        <f t="shared" si="37"/>
        <v>1009022724402026M09</v>
      </c>
      <c r="B2408">
        <v>51321001</v>
      </c>
      <c r="C2408">
        <v>27</v>
      </c>
      <c r="D2408">
        <v>100902</v>
      </c>
      <c r="E2408">
        <v>272440</v>
      </c>
      <c r="F2408" t="s">
        <v>115</v>
      </c>
      <c r="G2408" t="s">
        <v>71</v>
      </c>
      <c r="H2408">
        <v>0</v>
      </c>
      <c r="I2408">
        <v>0</v>
      </c>
      <c r="J2408">
        <v>0</v>
      </c>
      <c r="K2408">
        <v>0</v>
      </c>
      <c r="L2408">
        <v>0</v>
      </c>
    </row>
    <row r="2409" spans="1:12" x14ac:dyDescent="0.25">
      <c r="A2409" t="str">
        <f t="shared" si="37"/>
        <v>1009022724402026M10</v>
      </c>
      <c r="B2409">
        <v>51321001</v>
      </c>
      <c r="C2409">
        <v>27</v>
      </c>
      <c r="D2409">
        <v>100902</v>
      </c>
      <c r="E2409">
        <v>272440</v>
      </c>
      <c r="F2409" t="s">
        <v>115</v>
      </c>
      <c r="G2409" t="s">
        <v>72</v>
      </c>
      <c r="H2409">
        <v>7424</v>
      </c>
      <c r="I2409">
        <v>0</v>
      </c>
      <c r="J2409">
        <v>7424</v>
      </c>
      <c r="K2409">
        <v>0</v>
      </c>
      <c r="L2409">
        <v>0</v>
      </c>
    </row>
    <row r="2410" spans="1:12" x14ac:dyDescent="0.25">
      <c r="A2410" t="str">
        <f t="shared" si="37"/>
        <v>1009022724402026M11</v>
      </c>
      <c r="B2410">
        <v>51321001</v>
      </c>
      <c r="C2410">
        <v>27</v>
      </c>
      <c r="D2410">
        <v>100902</v>
      </c>
      <c r="E2410">
        <v>272440</v>
      </c>
      <c r="F2410" t="s">
        <v>115</v>
      </c>
      <c r="G2410" t="s">
        <v>73</v>
      </c>
      <c r="H2410">
        <v>3712</v>
      </c>
      <c r="I2410">
        <v>0</v>
      </c>
      <c r="J2410">
        <v>3712</v>
      </c>
      <c r="K2410">
        <v>0</v>
      </c>
      <c r="L2410">
        <v>0</v>
      </c>
    </row>
    <row r="2411" spans="1:12" x14ac:dyDescent="0.25">
      <c r="A2411" t="str">
        <f t="shared" si="37"/>
        <v>1009022724402026M12</v>
      </c>
      <c r="B2411">
        <v>51321001</v>
      </c>
      <c r="C2411">
        <v>27</v>
      </c>
      <c r="D2411">
        <v>100902</v>
      </c>
      <c r="E2411">
        <v>272440</v>
      </c>
      <c r="F2411" t="s">
        <v>115</v>
      </c>
      <c r="G2411" t="s">
        <v>74</v>
      </c>
      <c r="H2411">
        <v>7424</v>
      </c>
      <c r="I2411">
        <v>0</v>
      </c>
      <c r="J2411">
        <v>7424</v>
      </c>
      <c r="K2411">
        <v>0</v>
      </c>
      <c r="L2411">
        <v>0</v>
      </c>
    </row>
    <row r="2412" spans="1:12" x14ac:dyDescent="0.25">
      <c r="A2412" t="str">
        <f t="shared" si="37"/>
        <v>1009022724602026M02</v>
      </c>
      <c r="B2412">
        <v>51321001</v>
      </c>
      <c r="C2412">
        <v>27</v>
      </c>
      <c r="D2412">
        <v>100902</v>
      </c>
      <c r="E2412">
        <v>272460</v>
      </c>
      <c r="F2412" t="s">
        <v>115</v>
      </c>
      <c r="G2412" t="s">
        <v>64</v>
      </c>
      <c r="H2412">
        <v>36340.370000000003</v>
      </c>
      <c r="I2412">
        <v>36340.370000000003</v>
      </c>
      <c r="J2412">
        <v>0</v>
      </c>
      <c r="K2412">
        <v>0</v>
      </c>
      <c r="L2412">
        <v>0</v>
      </c>
    </row>
    <row r="2413" spans="1:12" x14ac:dyDescent="0.25">
      <c r="A2413" t="str">
        <f t="shared" si="37"/>
        <v>1009022724602026M03</v>
      </c>
      <c r="B2413">
        <v>51321001</v>
      </c>
      <c r="C2413">
        <v>27</v>
      </c>
      <c r="D2413">
        <v>100902</v>
      </c>
      <c r="E2413">
        <v>272460</v>
      </c>
      <c r="F2413" t="s">
        <v>115</v>
      </c>
      <c r="G2413" t="s">
        <v>65</v>
      </c>
      <c r="H2413">
        <v>36340.370000000003</v>
      </c>
      <c r="I2413">
        <v>36340.370000000003</v>
      </c>
      <c r="J2413">
        <v>0</v>
      </c>
      <c r="K2413">
        <v>0</v>
      </c>
      <c r="L2413">
        <v>0</v>
      </c>
    </row>
    <row r="2414" spans="1:12" x14ac:dyDescent="0.25">
      <c r="A2414" t="str">
        <f t="shared" si="37"/>
        <v>1009022724602026M04</v>
      </c>
      <c r="B2414">
        <v>51321001</v>
      </c>
      <c r="C2414">
        <v>27</v>
      </c>
      <c r="D2414">
        <v>100902</v>
      </c>
      <c r="E2414">
        <v>272460</v>
      </c>
      <c r="F2414" t="s">
        <v>115</v>
      </c>
      <c r="G2414" t="s">
        <v>66</v>
      </c>
      <c r="H2414">
        <v>36340.370000000003</v>
      </c>
      <c r="I2414">
        <v>36340.370000000003</v>
      </c>
      <c r="J2414">
        <v>0</v>
      </c>
      <c r="K2414">
        <v>0</v>
      </c>
      <c r="L2414">
        <v>0</v>
      </c>
    </row>
    <row r="2415" spans="1:12" x14ac:dyDescent="0.25">
      <c r="A2415" t="str">
        <f t="shared" si="37"/>
        <v>1009022724602026M05</v>
      </c>
      <c r="B2415">
        <v>51321001</v>
      </c>
      <c r="C2415">
        <v>27</v>
      </c>
      <c r="D2415">
        <v>100902</v>
      </c>
      <c r="E2415">
        <v>272460</v>
      </c>
      <c r="F2415" t="s">
        <v>115</v>
      </c>
      <c r="G2415" t="s">
        <v>67</v>
      </c>
      <c r="H2415">
        <v>36340.370000000003</v>
      </c>
      <c r="I2415">
        <v>36340.370000000003</v>
      </c>
      <c r="J2415">
        <v>0</v>
      </c>
      <c r="K2415">
        <v>0</v>
      </c>
      <c r="L2415">
        <v>0</v>
      </c>
    </row>
    <row r="2416" spans="1:12" x14ac:dyDescent="0.25">
      <c r="A2416" t="str">
        <f t="shared" si="37"/>
        <v>1009022724602026M06</v>
      </c>
      <c r="B2416">
        <v>51321001</v>
      </c>
      <c r="C2416">
        <v>27</v>
      </c>
      <c r="D2416">
        <v>100902</v>
      </c>
      <c r="E2416">
        <v>272460</v>
      </c>
      <c r="F2416" t="s">
        <v>115</v>
      </c>
      <c r="G2416" t="s">
        <v>68</v>
      </c>
      <c r="H2416">
        <v>0</v>
      </c>
      <c r="I2416">
        <v>0</v>
      </c>
      <c r="J2416">
        <v>0</v>
      </c>
      <c r="K2416">
        <v>0</v>
      </c>
      <c r="L2416">
        <v>0</v>
      </c>
    </row>
    <row r="2417" spans="1:12" x14ac:dyDescent="0.25">
      <c r="A2417" t="str">
        <f t="shared" si="37"/>
        <v>1009022724602026M07</v>
      </c>
      <c r="B2417">
        <v>51321001</v>
      </c>
      <c r="C2417">
        <v>27</v>
      </c>
      <c r="D2417">
        <v>100902</v>
      </c>
      <c r="E2417">
        <v>272460</v>
      </c>
      <c r="F2417" t="s">
        <v>115</v>
      </c>
      <c r="G2417" t="s">
        <v>69</v>
      </c>
      <c r="H2417">
        <v>72680.740000000005</v>
      </c>
      <c r="I2417">
        <v>72680.740000000005</v>
      </c>
      <c r="J2417">
        <v>0</v>
      </c>
      <c r="K2417">
        <v>0</v>
      </c>
      <c r="L2417">
        <v>0</v>
      </c>
    </row>
    <row r="2418" spans="1:12" x14ac:dyDescent="0.25">
      <c r="A2418" t="str">
        <f t="shared" si="37"/>
        <v>1009022724602026M08</v>
      </c>
      <c r="B2418">
        <v>51321001</v>
      </c>
      <c r="C2418">
        <v>27</v>
      </c>
      <c r="D2418">
        <v>100902</v>
      </c>
      <c r="E2418">
        <v>272460</v>
      </c>
      <c r="F2418" t="s">
        <v>115</v>
      </c>
      <c r="G2418" t="s">
        <v>70</v>
      </c>
      <c r="H2418">
        <v>36340.370000000003</v>
      </c>
      <c r="I2418">
        <v>36340.370000000003</v>
      </c>
      <c r="J2418">
        <v>0</v>
      </c>
      <c r="K2418">
        <v>0</v>
      </c>
      <c r="L2418">
        <v>0</v>
      </c>
    </row>
    <row r="2419" spans="1:12" x14ac:dyDescent="0.25">
      <c r="A2419" t="str">
        <f t="shared" si="37"/>
        <v>1009022724602026M09</v>
      </c>
      <c r="B2419">
        <v>51321001</v>
      </c>
      <c r="C2419">
        <v>27</v>
      </c>
      <c r="D2419">
        <v>100902</v>
      </c>
      <c r="E2419">
        <v>272460</v>
      </c>
      <c r="F2419" t="s">
        <v>115</v>
      </c>
      <c r="G2419" t="s">
        <v>71</v>
      </c>
      <c r="H2419">
        <v>36340.370000000003</v>
      </c>
      <c r="I2419">
        <v>36340.370000000003</v>
      </c>
      <c r="J2419">
        <v>0</v>
      </c>
      <c r="K2419">
        <v>0</v>
      </c>
      <c r="L2419">
        <v>0</v>
      </c>
    </row>
    <row r="2420" spans="1:12" x14ac:dyDescent="0.25">
      <c r="A2420" t="str">
        <f t="shared" si="37"/>
        <v>1009022724602026M10</v>
      </c>
      <c r="B2420">
        <v>51321001</v>
      </c>
      <c r="C2420">
        <v>27</v>
      </c>
      <c r="D2420">
        <v>100902</v>
      </c>
      <c r="E2420">
        <v>272460</v>
      </c>
      <c r="F2420" t="s">
        <v>115</v>
      </c>
      <c r="G2420" t="s">
        <v>72</v>
      </c>
      <c r="H2420">
        <v>36355.040000000001</v>
      </c>
      <c r="I2420">
        <v>0</v>
      </c>
      <c r="J2420">
        <v>36355.040000000001</v>
      </c>
      <c r="K2420">
        <v>0</v>
      </c>
      <c r="L2420">
        <v>0</v>
      </c>
    </row>
    <row r="2421" spans="1:12" x14ac:dyDescent="0.25">
      <c r="A2421" t="str">
        <f t="shared" si="37"/>
        <v>1009022724602026M11</v>
      </c>
      <c r="B2421">
        <v>51321001</v>
      </c>
      <c r="C2421">
        <v>27</v>
      </c>
      <c r="D2421">
        <v>100902</v>
      </c>
      <c r="E2421">
        <v>272460</v>
      </c>
      <c r="F2421" t="s">
        <v>115</v>
      </c>
      <c r="G2421" t="s">
        <v>73</v>
      </c>
      <c r="H2421">
        <v>36342</v>
      </c>
      <c r="I2421">
        <v>0</v>
      </c>
      <c r="J2421">
        <v>36342</v>
      </c>
      <c r="K2421">
        <v>0</v>
      </c>
      <c r="L2421">
        <v>0</v>
      </c>
    </row>
    <row r="2422" spans="1:12" x14ac:dyDescent="0.25">
      <c r="A2422" t="str">
        <f t="shared" si="37"/>
        <v>1009022724602026M12</v>
      </c>
      <c r="B2422">
        <v>51321001</v>
      </c>
      <c r="C2422">
        <v>27</v>
      </c>
      <c r="D2422">
        <v>100902</v>
      </c>
      <c r="E2422">
        <v>272460</v>
      </c>
      <c r="F2422" t="s">
        <v>115</v>
      </c>
      <c r="G2422" t="s">
        <v>74</v>
      </c>
      <c r="H2422">
        <v>72680</v>
      </c>
      <c r="I2422">
        <v>0</v>
      </c>
      <c r="J2422">
        <v>72679.990000000005</v>
      </c>
      <c r="K2422">
        <v>0</v>
      </c>
      <c r="L2422">
        <v>0.01</v>
      </c>
    </row>
    <row r="2423" spans="1:12" x14ac:dyDescent="0.25">
      <c r="A2423" t="str">
        <f t="shared" si="37"/>
        <v>1401002790012026M02</v>
      </c>
      <c r="B2423">
        <v>51321001</v>
      </c>
      <c r="C2423">
        <v>27</v>
      </c>
      <c r="D2423">
        <v>140100</v>
      </c>
      <c r="E2423">
        <v>279001</v>
      </c>
      <c r="F2423" t="s">
        <v>115</v>
      </c>
      <c r="G2423" t="s">
        <v>64</v>
      </c>
      <c r="H2423">
        <v>0</v>
      </c>
      <c r="I2423">
        <v>0</v>
      </c>
      <c r="J2423">
        <v>0</v>
      </c>
      <c r="K2423">
        <v>0</v>
      </c>
      <c r="L2423">
        <v>0</v>
      </c>
    </row>
    <row r="2424" spans="1:12" x14ac:dyDescent="0.25">
      <c r="A2424" t="str">
        <f t="shared" si="37"/>
        <v>1401002790012026M03</v>
      </c>
      <c r="B2424">
        <v>51321001</v>
      </c>
      <c r="C2424">
        <v>27</v>
      </c>
      <c r="D2424">
        <v>140100</v>
      </c>
      <c r="E2424">
        <v>279001</v>
      </c>
      <c r="F2424" t="s">
        <v>115</v>
      </c>
      <c r="G2424" t="s">
        <v>65</v>
      </c>
      <c r="H2424">
        <v>0</v>
      </c>
      <c r="I2424">
        <v>0</v>
      </c>
      <c r="J2424">
        <v>0</v>
      </c>
      <c r="K2424">
        <v>0</v>
      </c>
      <c r="L2424">
        <v>0</v>
      </c>
    </row>
    <row r="2425" spans="1:12" x14ac:dyDescent="0.25">
      <c r="A2425" t="str">
        <f t="shared" si="37"/>
        <v>1401002790012026M04</v>
      </c>
      <c r="B2425">
        <v>51321001</v>
      </c>
      <c r="C2425">
        <v>27</v>
      </c>
      <c r="D2425">
        <v>140100</v>
      </c>
      <c r="E2425">
        <v>279001</v>
      </c>
      <c r="F2425" t="s">
        <v>115</v>
      </c>
      <c r="G2425" t="s">
        <v>66</v>
      </c>
      <c r="H2425">
        <v>0</v>
      </c>
      <c r="I2425">
        <v>0</v>
      </c>
      <c r="J2425">
        <v>0</v>
      </c>
      <c r="K2425">
        <v>0</v>
      </c>
      <c r="L2425">
        <v>0</v>
      </c>
    </row>
    <row r="2426" spans="1:12" x14ac:dyDescent="0.25">
      <c r="A2426" t="str">
        <f t="shared" si="37"/>
        <v>1401002790012026M05</v>
      </c>
      <c r="B2426">
        <v>51321001</v>
      </c>
      <c r="C2426">
        <v>27</v>
      </c>
      <c r="D2426">
        <v>140100</v>
      </c>
      <c r="E2426">
        <v>279001</v>
      </c>
      <c r="F2426" t="s">
        <v>115</v>
      </c>
      <c r="G2426" t="s">
        <v>67</v>
      </c>
      <c r="H2426">
        <v>0</v>
      </c>
      <c r="I2426">
        <v>0</v>
      </c>
      <c r="J2426">
        <v>0</v>
      </c>
      <c r="K2426">
        <v>0</v>
      </c>
      <c r="L2426">
        <v>0</v>
      </c>
    </row>
    <row r="2427" spans="1:12" x14ac:dyDescent="0.25">
      <c r="A2427" t="str">
        <f t="shared" si="37"/>
        <v>1401002790012026M06</v>
      </c>
      <c r="B2427">
        <v>51321001</v>
      </c>
      <c r="C2427">
        <v>27</v>
      </c>
      <c r="D2427">
        <v>140100</v>
      </c>
      <c r="E2427">
        <v>279001</v>
      </c>
      <c r="F2427" t="s">
        <v>115</v>
      </c>
      <c r="G2427" t="s">
        <v>68</v>
      </c>
      <c r="H2427">
        <v>0</v>
      </c>
      <c r="I2427">
        <v>0</v>
      </c>
      <c r="J2427">
        <v>0</v>
      </c>
      <c r="K2427">
        <v>0</v>
      </c>
      <c r="L2427">
        <v>0</v>
      </c>
    </row>
    <row r="2428" spans="1:12" x14ac:dyDescent="0.25">
      <c r="A2428" t="str">
        <f t="shared" si="37"/>
        <v>1401002790012026M07</v>
      </c>
      <c r="B2428">
        <v>51321001</v>
      </c>
      <c r="C2428">
        <v>27</v>
      </c>
      <c r="D2428">
        <v>140100</v>
      </c>
      <c r="E2428">
        <v>279001</v>
      </c>
      <c r="F2428" t="s">
        <v>115</v>
      </c>
      <c r="G2428" t="s">
        <v>69</v>
      </c>
      <c r="H2428">
        <v>0</v>
      </c>
      <c r="I2428">
        <v>0</v>
      </c>
      <c r="J2428">
        <v>0</v>
      </c>
      <c r="K2428">
        <v>0</v>
      </c>
      <c r="L2428">
        <v>0</v>
      </c>
    </row>
    <row r="2429" spans="1:12" x14ac:dyDescent="0.25">
      <c r="A2429" t="str">
        <f t="shared" si="37"/>
        <v>1401002790012026M08</v>
      </c>
      <c r="B2429">
        <v>51321001</v>
      </c>
      <c r="C2429">
        <v>27</v>
      </c>
      <c r="D2429">
        <v>140100</v>
      </c>
      <c r="E2429">
        <v>279001</v>
      </c>
      <c r="F2429" t="s">
        <v>115</v>
      </c>
      <c r="G2429" t="s">
        <v>70</v>
      </c>
      <c r="H2429">
        <v>0</v>
      </c>
      <c r="I2429">
        <v>0</v>
      </c>
      <c r="J2429">
        <v>0</v>
      </c>
      <c r="K2429">
        <v>0</v>
      </c>
      <c r="L2429">
        <v>0</v>
      </c>
    </row>
    <row r="2430" spans="1:12" x14ac:dyDescent="0.25">
      <c r="A2430" t="str">
        <f t="shared" si="37"/>
        <v>1401002790012026M09</v>
      </c>
      <c r="B2430">
        <v>51321001</v>
      </c>
      <c r="C2430">
        <v>27</v>
      </c>
      <c r="D2430">
        <v>140100</v>
      </c>
      <c r="E2430">
        <v>279001</v>
      </c>
      <c r="F2430" t="s">
        <v>115</v>
      </c>
      <c r="G2430" t="s">
        <v>71</v>
      </c>
      <c r="H2430">
        <v>0</v>
      </c>
      <c r="I2430">
        <v>0</v>
      </c>
      <c r="J2430">
        <v>0</v>
      </c>
      <c r="K2430">
        <v>0</v>
      </c>
      <c r="L2430">
        <v>0</v>
      </c>
    </row>
    <row r="2431" spans="1:12" x14ac:dyDescent="0.25">
      <c r="A2431" t="str">
        <f t="shared" si="37"/>
        <v>1401002790012026M10</v>
      </c>
      <c r="B2431">
        <v>51321001</v>
      </c>
      <c r="C2431">
        <v>27</v>
      </c>
      <c r="D2431">
        <v>140100</v>
      </c>
      <c r="E2431">
        <v>279001</v>
      </c>
      <c r="F2431" t="s">
        <v>115</v>
      </c>
      <c r="G2431" t="s">
        <v>72</v>
      </c>
      <c r="H2431">
        <v>0</v>
      </c>
      <c r="I2431">
        <v>0</v>
      </c>
      <c r="J2431">
        <v>0</v>
      </c>
      <c r="K2431">
        <v>0</v>
      </c>
      <c r="L2431">
        <v>0</v>
      </c>
    </row>
    <row r="2432" spans="1:12" x14ac:dyDescent="0.25">
      <c r="A2432" t="str">
        <f t="shared" si="37"/>
        <v>1401002790012026M11</v>
      </c>
      <c r="B2432">
        <v>51321001</v>
      </c>
      <c r="C2432">
        <v>27</v>
      </c>
      <c r="D2432">
        <v>140100</v>
      </c>
      <c r="E2432">
        <v>279001</v>
      </c>
      <c r="F2432" t="s">
        <v>115</v>
      </c>
      <c r="G2432" t="s">
        <v>73</v>
      </c>
      <c r="H2432">
        <v>0</v>
      </c>
      <c r="I2432">
        <v>0</v>
      </c>
      <c r="J2432">
        <v>0</v>
      </c>
      <c r="K2432">
        <v>0</v>
      </c>
      <c r="L2432">
        <v>0</v>
      </c>
    </row>
    <row r="2433" spans="1:12" x14ac:dyDescent="0.25">
      <c r="A2433" t="str">
        <f t="shared" si="37"/>
        <v>1401002790012026M12</v>
      </c>
      <c r="B2433">
        <v>51321001</v>
      </c>
      <c r="C2433">
        <v>27</v>
      </c>
      <c r="D2433">
        <v>140100</v>
      </c>
      <c r="E2433">
        <v>279001</v>
      </c>
      <c r="F2433" t="s">
        <v>115</v>
      </c>
      <c r="G2433" t="s">
        <v>74</v>
      </c>
      <c r="H2433">
        <v>0</v>
      </c>
      <c r="I2433">
        <v>0</v>
      </c>
      <c r="J2433">
        <v>0</v>
      </c>
      <c r="K2433">
        <v>0</v>
      </c>
      <c r="L2433">
        <v>0</v>
      </c>
    </row>
    <row r="2434" spans="1:12" x14ac:dyDescent="0.25">
      <c r="A2434" t="str">
        <f t="shared" si="37"/>
        <v>1509002780022026M02</v>
      </c>
      <c r="B2434">
        <v>51321001</v>
      </c>
      <c r="C2434">
        <v>27</v>
      </c>
      <c r="D2434">
        <v>150900</v>
      </c>
      <c r="E2434">
        <v>278002</v>
      </c>
      <c r="F2434" t="s">
        <v>115</v>
      </c>
      <c r="G2434" t="s">
        <v>64</v>
      </c>
      <c r="H2434">
        <v>51859.92</v>
      </c>
      <c r="I2434">
        <v>51859.92</v>
      </c>
      <c r="J2434">
        <v>0</v>
      </c>
      <c r="K2434">
        <v>0</v>
      </c>
      <c r="L2434">
        <v>0</v>
      </c>
    </row>
    <row r="2435" spans="1:12" x14ac:dyDescent="0.25">
      <c r="A2435" t="str">
        <f t="shared" si="37"/>
        <v>1509002780022026M03</v>
      </c>
      <c r="B2435">
        <v>51321001</v>
      </c>
      <c r="C2435">
        <v>27</v>
      </c>
      <c r="D2435">
        <v>150900</v>
      </c>
      <c r="E2435">
        <v>278002</v>
      </c>
      <c r="F2435" t="s">
        <v>115</v>
      </c>
      <c r="G2435" t="s">
        <v>65</v>
      </c>
      <c r="H2435">
        <v>51859.92</v>
      </c>
      <c r="I2435">
        <v>51859.92</v>
      </c>
      <c r="J2435">
        <v>0</v>
      </c>
      <c r="K2435">
        <v>0</v>
      </c>
      <c r="L2435">
        <v>0</v>
      </c>
    </row>
    <row r="2436" spans="1:12" x14ac:dyDescent="0.25">
      <c r="A2436" t="str">
        <f t="shared" si="37"/>
        <v>1509002780022026M04</v>
      </c>
      <c r="B2436">
        <v>51321001</v>
      </c>
      <c r="C2436">
        <v>27</v>
      </c>
      <c r="D2436">
        <v>150900</v>
      </c>
      <c r="E2436">
        <v>278002</v>
      </c>
      <c r="F2436" t="s">
        <v>115</v>
      </c>
      <c r="G2436" t="s">
        <v>66</v>
      </c>
      <c r="H2436">
        <v>51859.92</v>
      </c>
      <c r="I2436">
        <v>51859.92</v>
      </c>
      <c r="J2436">
        <v>0</v>
      </c>
      <c r="K2436">
        <v>0</v>
      </c>
      <c r="L2436">
        <v>0</v>
      </c>
    </row>
    <row r="2437" spans="1:12" x14ac:dyDescent="0.25">
      <c r="A2437" t="str">
        <f t="shared" si="37"/>
        <v>1509002780022026M05</v>
      </c>
      <c r="B2437">
        <v>51321001</v>
      </c>
      <c r="C2437">
        <v>27</v>
      </c>
      <c r="D2437">
        <v>150900</v>
      </c>
      <c r="E2437">
        <v>278002</v>
      </c>
      <c r="F2437" t="s">
        <v>115</v>
      </c>
      <c r="G2437" t="s">
        <v>67</v>
      </c>
      <c r="H2437">
        <v>51859.92</v>
      </c>
      <c r="I2437">
        <v>51859.92</v>
      </c>
      <c r="J2437">
        <v>0</v>
      </c>
      <c r="K2437">
        <v>0</v>
      </c>
      <c r="L2437">
        <v>0</v>
      </c>
    </row>
    <row r="2438" spans="1:12" x14ac:dyDescent="0.25">
      <c r="A2438" t="str">
        <f t="shared" si="37"/>
        <v>1509002780022026M06</v>
      </c>
      <c r="B2438">
        <v>51321001</v>
      </c>
      <c r="C2438">
        <v>27</v>
      </c>
      <c r="D2438">
        <v>150900</v>
      </c>
      <c r="E2438">
        <v>278002</v>
      </c>
      <c r="F2438" t="s">
        <v>115</v>
      </c>
      <c r="G2438" t="s">
        <v>68</v>
      </c>
      <c r="H2438">
        <v>51859.92</v>
      </c>
      <c r="I2438">
        <v>51859.92</v>
      </c>
      <c r="J2438">
        <v>0</v>
      </c>
      <c r="K2438">
        <v>0</v>
      </c>
      <c r="L2438">
        <v>0</v>
      </c>
    </row>
    <row r="2439" spans="1:12" x14ac:dyDescent="0.25">
      <c r="A2439" t="str">
        <f t="shared" si="37"/>
        <v>1509002780022026M07</v>
      </c>
      <c r="B2439">
        <v>51321001</v>
      </c>
      <c r="C2439">
        <v>27</v>
      </c>
      <c r="D2439">
        <v>150900</v>
      </c>
      <c r="E2439">
        <v>278002</v>
      </c>
      <c r="F2439" t="s">
        <v>115</v>
      </c>
      <c r="G2439" t="s">
        <v>69</v>
      </c>
      <c r="H2439">
        <v>51859.92</v>
      </c>
      <c r="I2439">
        <v>51859.92</v>
      </c>
      <c r="J2439">
        <v>0</v>
      </c>
      <c r="K2439">
        <v>0</v>
      </c>
      <c r="L2439">
        <v>0</v>
      </c>
    </row>
    <row r="2440" spans="1:12" x14ac:dyDescent="0.25">
      <c r="A2440" t="str">
        <f t="shared" si="37"/>
        <v>1509002780022026M08</v>
      </c>
      <c r="B2440">
        <v>51321001</v>
      </c>
      <c r="C2440">
        <v>27</v>
      </c>
      <c r="D2440">
        <v>150900</v>
      </c>
      <c r="E2440">
        <v>278002</v>
      </c>
      <c r="F2440" t="s">
        <v>115</v>
      </c>
      <c r="G2440" t="s">
        <v>70</v>
      </c>
      <c r="H2440">
        <v>51859.92</v>
      </c>
      <c r="I2440">
        <v>51859.92</v>
      </c>
      <c r="J2440">
        <v>0</v>
      </c>
      <c r="K2440">
        <v>0</v>
      </c>
      <c r="L2440">
        <v>0</v>
      </c>
    </row>
    <row r="2441" spans="1:12" x14ac:dyDescent="0.25">
      <c r="A2441" t="str">
        <f t="shared" si="37"/>
        <v>1509002780022026M09</v>
      </c>
      <c r="B2441">
        <v>51321001</v>
      </c>
      <c r="C2441">
        <v>27</v>
      </c>
      <c r="D2441">
        <v>150900</v>
      </c>
      <c r="E2441">
        <v>278002</v>
      </c>
      <c r="F2441" t="s">
        <v>115</v>
      </c>
      <c r="G2441" t="s">
        <v>71</v>
      </c>
      <c r="H2441">
        <v>51859.92</v>
      </c>
      <c r="I2441">
        <v>51859.92</v>
      </c>
      <c r="J2441">
        <v>0</v>
      </c>
      <c r="K2441">
        <v>0</v>
      </c>
      <c r="L2441">
        <v>0</v>
      </c>
    </row>
    <row r="2442" spans="1:12" x14ac:dyDescent="0.25">
      <c r="A2442" t="str">
        <f t="shared" si="37"/>
        <v>1509002780022026M10</v>
      </c>
      <c r="B2442">
        <v>51321001</v>
      </c>
      <c r="C2442">
        <v>27</v>
      </c>
      <c r="D2442">
        <v>150900</v>
      </c>
      <c r="E2442">
        <v>278002</v>
      </c>
      <c r="F2442" t="s">
        <v>115</v>
      </c>
      <c r="G2442" t="s">
        <v>72</v>
      </c>
      <c r="H2442">
        <v>51878.64</v>
      </c>
      <c r="I2442">
        <v>0</v>
      </c>
      <c r="J2442">
        <v>51878.64</v>
      </c>
      <c r="K2442">
        <v>0</v>
      </c>
      <c r="L2442">
        <v>0</v>
      </c>
    </row>
    <row r="2443" spans="1:12" x14ac:dyDescent="0.25">
      <c r="A2443" t="str">
        <f t="shared" ref="A2443:A2506" si="38">D2443&amp;E2443&amp;G2443</f>
        <v>1509002780022026M11</v>
      </c>
      <c r="B2443">
        <v>51321001</v>
      </c>
      <c r="C2443">
        <v>27</v>
      </c>
      <c r="D2443">
        <v>150900</v>
      </c>
      <c r="E2443">
        <v>278002</v>
      </c>
      <c r="F2443" t="s">
        <v>115</v>
      </c>
      <c r="G2443" t="s">
        <v>73</v>
      </c>
      <c r="H2443">
        <v>51862</v>
      </c>
      <c r="I2443">
        <v>0</v>
      </c>
      <c r="J2443">
        <v>51862</v>
      </c>
      <c r="K2443">
        <v>0</v>
      </c>
      <c r="L2443">
        <v>0</v>
      </c>
    </row>
    <row r="2444" spans="1:12" x14ac:dyDescent="0.25">
      <c r="A2444" t="str">
        <f t="shared" si="38"/>
        <v>1509002780022026M12</v>
      </c>
      <c r="B2444">
        <v>51321001</v>
      </c>
      <c r="C2444">
        <v>27</v>
      </c>
      <c r="D2444">
        <v>150900</v>
      </c>
      <c r="E2444">
        <v>278002</v>
      </c>
      <c r="F2444" t="s">
        <v>115</v>
      </c>
      <c r="G2444" t="s">
        <v>74</v>
      </c>
      <c r="H2444">
        <v>103717</v>
      </c>
      <c r="I2444">
        <v>0</v>
      </c>
      <c r="J2444">
        <v>103717</v>
      </c>
      <c r="K2444">
        <v>0</v>
      </c>
      <c r="L2444">
        <v>0</v>
      </c>
    </row>
    <row r="2445" spans="1:12" x14ac:dyDescent="0.25">
      <c r="A2445" t="str">
        <f t="shared" si="38"/>
        <v>3102032753072026M02</v>
      </c>
      <c r="B2445">
        <v>51321001</v>
      </c>
      <c r="C2445">
        <v>27</v>
      </c>
      <c r="D2445">
        <v>310203</v>
      </c>
      <c r="E2445">
        <v>275307</v>
      </c>
      <c r="F2445" t="s">
        <v>115</v>
      </c>
      <c r="G2445" t="s">
        <v>64</v>
      </c>
      <c r="H2445">
        <v>0</v>
      </c>
      <c r="I2445">
        <v>0</v>
      </c>
      <c r="J2445">
        <v>0</v>
      </c>
      <c r="K2445">
        <v>0</v>
      </c>
      <c r="L2445">
        <v>0</v>
      </c>
    </row>
    <row r="2446" spans="1:12" x14ac:dyDescent="0.25">
      <c r="A2446" t="str">
        <f t="shared" si="38"/>
        <v>3102032753072026M03</v>
      </c>
      <c r="B2446">
        <v>51321001</v>
      </c>
      <c r="C2446">
        <v>27</v>
      </c>
      <c r="D2446">
        <v>310203</v>
      </c>
      <c r="E2446">
        <v>275307</v>
      </c>
      <c r="F2446" t="s">
        <v>115</v>
      </c>
      <c r="G2446" t="s">
        <v>65</v>
      </c>
      <c r="H2446">
        <v>94800.4</v>
      </c>
      <c r="I2446">
        <v>94800.4</v>
      </c>
      <c r="J2446">
        <v>0</v>
      </c>
      <c r="K2446">
        <v>0</v>
      </c>
      <c r="L2446">
        <v>0</v>
      </c>
    </row>
    <row r="2447" spans="1:12" x14ac:dyDescent="0.25">
      <c r="A2447" t="str">
        <f t="shared" si="38"/>
        <v>3102032753072026M04</v>
      </c>
      <c r="B2447">
        <v>51321001</v>
      </c>
      <c r="C2447">
        <v>27</v>
      </c>
      <c r="D2447">
        <v>310203</v>
      </c>
      <c r="E2447">
        <v>275307</v>
      </c>
      <c r="F2447" t="s">
        <v>115</v>
      </c>
      <c r="G2447" t="s">
        <v>66</v>
      </c>
      <c r="H2447">
        <v>0</v>
      </c>
      <c r="I2447">
        <v>0</v>
      </c>
      <c r="J2447">
        <v>0</v>
      </c>
      <c r="K2447">
        <v>0</v>
      </c>
      <c r="L2447">
        <v>0</v>
      </c>
    </row>
    <row r="2448" spans="1:12" x14ac:dyDescent="0.25">
      <c r="A2448" t="str">
        <f t="shared" si="38"/>
        <v>3102032753072026M05</v>
      </c>
      <c r="B2448">
        <v>51321001</v>
      </c>
      <c r="C2448">
        <v>27</v>
      </c>
      <c r="D2448">
        <v>310203</v>
      </c>
      <c r="E2448">
        <v>275307</v>
      </c>
      <c r="F2448" t="s">
        <v>115</v>
      </c>
      <c r="G2448" t="s">
        <v>67</v>
      </c>
      <c r="H2448">
        <v>94800.4</v>
      </c>
      <c r="I2448">
        <v>94800.4</v>
      </c>
      <c r="J2448">
        <v>0</v>
      </c>
      <c r="K2448">
        <v>0</v>
      </c>
      <c r="L2448">
        <v>0</v>
      </c>
    </row>
    <row r="2449" spans="1:12" x14ac:dyDescent="0.25">
      <c r="A2449" t="str">
        <f t="shared" si="38"/>
        <v>3102032753072026M06</v>
      </c>
      <c r="B2449">
        <v>51321001</v>
      </c>
      <c r="C2449">
        <v>27</v>
      </c>
      <c r="D2449">
        <v>310203</v>
      </c>
      <c r="E2449">
        <v>275307</v>
      </c>
      <c r="F2449" t="s">
        <v>115</v>
      </c>
      <c r="G2449" t="s">
        <v>68</v>
      </c>
      <c r="H2449">
        <v>0</v>
      </c>
      <c r="I2449">
        <v>0</v>
      </c>
      <c r="J2449">
        <v>0</v>
      </c>
      <c r="K2449">
        <v>0</v>
      </c>
      <c r="L2449">
        <v>0</v>
      </c>
    </row>
    <row r="2450" spans="1:12" x14ac:dyDescent="0.25">
      <c r="A2450" t="str">
        <f t="shared" si="38"/>
        <v>3102032753072026M07</v>
      </c>
      <c r="B2450">
        <v>51321001</v>
      </c>
      <c r="C2450">
        <v>27</v>
      </c>
      <c r="D2450">
        <v>310203</v>
      </c>
      <c r="E2450">
        <v>275307</v>
      </c>
      <c r="F2450" t="s">
        <v>115</v>
      </c>
      <c r="G2450" t="s">
        <v>69</v>
      </c>
      <c r="H2450">
        <v>94800.4</v>
      </c>
      <c r="I2450">
        <v>94800.4</v>
      </c>
      <c r="J2450">
        <v>0</v>
      </c>
      <c r="K2450">
        <v>0</v>
      </c>
      <c r="L2450">
        <v>0</v>
      </c>
    </row>
    <row r="2451" spans="1:12" x14ac:dyDescent="0.25">
      <c r="A2451" t="str">
        <f t="shared" si="38"/>
        <v>3102032753072026M08</v>
      </c>
      <c r="B2451">
        <v>51321001</v>
      </c>
      <c r="C2451">
        <v>27</v>
      </c>
      <c r="D2451">
        <v>310203</v>
      </c>
      <c r="E2451">
        <v>275307</v>
      </c>
      <c r="F2451" t="s">
        <v>115</v>
      </c>
      <c r="G2451" t="s">
        <v>70</v>
      </c>
      <c r="H2451">
        <v>0</v>
      </c>
      <c r="I2451">
        <v>0</v>
      </c>
      <c r="J2451">
        <v>0</v>
      </c>
      <c r="K2451">
        <v>0</v>
      </c>
      <c r="L2451">
        <v>0</v>
      </c>
    </row>
    <row r="2452" spans="1:12" x14ac:dyDescent="0.25">
      <c r="A2452" t="str">
        <f t="shared" si="38"/>
        <v>3102032753072026M09</v>
      </c>
      <c r="B2452">
        <v>51321001</v>
      </c>
      <c r="C2452">
        <v>27</v>
      </c>
      <c r="D2452">
        <v>310203</v>
      </c>
      <c r="E2452">
        <v>275307</v>
      </c>
      <c r="F2452" t="s">
        <v>115</v>
      </c>
      <c r="G2452" t="s">
        <v>71</v>
      </c>
      <c r="H2452">
        <v>94800.4</v>
      </c>
      <c r="I2452">
        <v>94800.4</v>
      </c>
      <c r="J2452">
        <v>0</v>
      </c>
      <c r="K2452">
        <v>0</v>
      </c>
      <c r="L2452">
        <v>0</v>
      </c>
    </row>
    <row r="2453" spans="1:12" x14ac:dyDescent="0.25">
      <c r="A2453" t="str">
        <f t="shared" si="38"/>
        <v>3102032753072026M10</v>
      </c>
      <c r="B2453">
        <v>51321001</v>
      </c>
      <c r="C2453">
        <v>27</v>
      </c>
      <c r="D2453">
        <v>310203</v>
      </c>
      <c r="E2453">
        <v>275307</v>
      </c>
      <c r="F2453" t="s">
        <v>115</v>
      </c>
      <c r="G2453" t="s">
        <v>72</v>
      </c>
      <c r="H2453">
        <v>47416.4</v>
      </c>
      <c r="I2453">
        <v>0</v>
      </c>
      <c r="J2453">
        <v>47416.4</v>
      </c>
      <c r="K2453">
        <v>0</v>
      </c>
      <c r="L2453">
        <v>0</v>
      </c>
    </row>
    <row r="2454" spans="1:12" x14ac:dyDescent="0.25">
      <c r="A2454" t="str">
        <f t="shared" si="38"/>
        <v>3102032753072026M11</v>
      </c>
      <c r="B2454">
        <v>51321001</v>
      </c>
      <c r="C2454">
        <v>27</v>
      </c>
      <c r="D2454">
        <v>310203</v>
      </c>
      <c r="E2454">
        <v>275307</v>
      </c>
      <c r="F2454" t="s">
        <v>115</v>
      </c>
      <c r="G2454" t="s">
        <v>73</v>
      </c>
      <c r="H2454">
        <v>47402</v>
      </c>
      <c r="I2454">
        <v>0</v>
      </c>
      <c r="J2454">
        <v>47402</v>
      </c>
      <c r="K2454">
        <v>0</v>
      </c>
      <c r="L2454">
        <v>0</v>
      </c>
    </row>
    <row r="2455" spans="1:12" x14ac:dyDescent="0.25">
      <c r="A2455" t="str">
        <f t="shared" si="38"/>
        <v>3102032753072026M12</v>
      </c>
      <c r="B2455">
        <v>51321001</v>
      </c>
      <c r="C2455">
        <v>27</v>
      </c>
      <c r="D2455">
        <v>310203</v>
      </c>
      <c r="E2455">
        <v>275307</v>
      </c>
      <c r="F2455" t="s">
        <v>115</v>
      </c>
      <c r="G2455" t="s">
        <v>74</v>
      </c>
      <c r="H2455">
        <v>94795</v>
      </c>
      <c r="I2455">
        <v>0</v>
      </c>
      <c r="J2455">
        <v>94793.99</v>
      </c>
      <c r="K2455">
        <v>0</v>
      </c>
      <c r="L2455">
        <v>1.01</v>
      </c>
    </row>
    <row r="2456" spans="1:12" x14ac:dyDescent="0.25">
      <c r="A2456" t="str">
        <f t="shared" si="38"/>
        <v>3202002763082026M02</v>
      </c>
      <c r="B2456">
        <v>51321001</v>
      </c>
      <c r="C2456">
        <v>27</v>
      </c>
      <c r="D2456">
        <v>320200</v>
      </c>
      <c r="E2456">
        <v>276308</v>
      </c>
      <c r="F2456" t="s">
        <v>115</v>
      </c>
      <c r="G2456" t="s">
        <v>64</v>
      </c>
      <c r="H2456">
        <v>26633.59</v>
      </c>
      <c r="I2456">
        <v>26633.59</v>
      </c>
      <c r="J2456">
        <v>0</v>
      </c>
      <c r="K2456">
        <v>0</v>
      </c>
      <c r="L2456">
        <v>0</v>
      </c>
    </row>
    <row r="2457" spans="1:12" x14ac:dyDescent="0.25">
      <c r="A2457" t="str">
        <f t="shared" si="38"/>
        <v>3202002763082026M03</v>
      </c>
      <c r="B2457">
        <v>51321001</v>
      </c>
      <c r="C2457">
        <v>27</v>
      </c>
      <c r="D2457">
        <v>320200</v>
      </c>
      <c r="E2457">
        <v>276308</v>
      </c>
      <c r="F2457" t="s">
        <v>115</v>
      </c>
      <c r="G2457" t="s">
        <v>65</v>
      </c>
      <c r="H2457">
        <v>26633.59</v>
      </c>
      <c r="I2457">
        <v>26633.59</v>
      </c>
      <c r="J2457">
        <v>0</v>
      </c>
      <c r="K2457">
        <v>0</v>
      </c>
      <c r="L2457">
        <v>0</v>
      </c>
    </row>
    <row r="2458" spans="1:12" x14ac:dyDescent="0.25">
      <c r="A2458" t="str">
        <f t="shared" si="38"/>
        <v>3202002763082026M04</v>
      </c>
      <c r="B2458">
        <v>51321001</v>
      </c>
      <c r="C2458">
        <v>27</v>
      </c>
      <c r="D2458">
        <v>320200</v>
      </c>
      <c r="E2458">
        <v>276308</v>
      </c>
      <c r="F2458" t="s">
        <v>115</v>
      </c>
      <c r="G2458" t="s">
        <v>66</v>
      </c>
      <c r="H2458">
        <v>26633.59</v>
      </c>
      <c r="I2458">
        <v>26633.59</v>
      </c>
      <c r="J2458">
        <v>0</v>
      </c>
      <c r="K2458">
        <v>0</v>
      </c>
      <c r="L2458">
        <v>0</v>
      </c>
    </row>
    <row r="2459" spans="1:12" x14ac:dyDescent="0.25">
      <c r="A2459" t="str">
        <f t="shared" si="38"/>
        <v>3202002763082026M05</v>
      </c>
      <c r="B2459">
        <v>51321001</v>
      </c>
      <c r="C2459">
        <v>27</v>
      </c>
      <c r="D2459">
        <v>320200</v>
      </c>
      <c r="E2459">
        <v>276308</v>
      </c>
      <c r="F2459" t="s">
        <v>115</v>
      </c>
      <c r="G2459" t="s">
        <v>67</v>
      </c>
      <c r="H2459">
        <v>26633.59</v>
      </c>
      <c r="I2459">
        <v>26633.59</v>
      </c>
      <c r="J2459">
        <v>0</v>
      </c>
      <c r="K2459">
        <v>0</v>
      </c>
      <c r="L2459">
        <v>0</v>
      </c>
    </row>
    <row r="2460" spans="1:12" x14ac:dyDescent="0.25">
      <c r="A2460" t="str">
        <f t="shared" si="38"/>
        <v>3202002763082026M06</v>
      </c>
      <c r="B2460">
        <v>51321001</v>
      </c>
      <c r="C2460">
        <v>27</v>
      </c>
      <c r="D2460">
        <v>320200</v>
      </c>
      <c r="E2460">
        <v>276308</v>
      </c>
      <c r="F2460" t="s">
        <v>115</v>
      </c>
      <c r="G2460" t="s">
        <v>68</v>
      </c>
      <c r="H2460">
        <v>26633.59</v>
      </c>
      <c r="I2460">
        <v>26633.59</v>
      </c>
      <c r="J2460">
        <v>0</v>
      </c>
      <c r="K2460">
        <v>0</v>
      </c>
      <c r="L2460">
        <v>0</v>
      </c>
    </row>
    <row r="2461" spans="1:12" x14ac:dyDescent="0.25">
      <c r="A2461" t="str">
        <f t="shared" si="38"/>
        <v>3202002763082026M07</v>
      </c>
      <c r="B2461">
        <v>51321001</v>
      </c>
      <c r="C2461">
        <v>27</v>
      </c>
      <c r="D2461">
        <v>320200</v>
      </c>
      <c r="E2461">
        <v>276308</v>
      </c>
      <c r="F2461" t="s">
        <v>115</v>
      </c>
      <c r="G2461" t="s">
        <v>69</v>
      </c>
      <c r="H2461">
        <v>26633.59</v>
      </c>
      <c r="I2461">
        <v>26633.59</v>
      </c>
      <c r="J2461">
        <v>0</v>
      </c>
      <c r="K2461">
        <v>0</v>
      </c>
      <c r="L2461">
        <v>0</v>
      </c>
    </row>
    <row r="2462" spans="1:12" x14ac:dyDescent="0.25">
      <c r="A2462" t="str">
        <f t="shared" si="38"/>
        <v>3202002763082026M08</v>
      </c>
      <c r="B2462">
        <v>51321001</v>
      </c>
      <c r="C2462">
        <v>27</v>
      </c>
      <c r="D2462">
        <v>320200</v>
      </c>
      <c r="E2462">
        <v>276308</v>
      </c>
      <c r="F2462" t="s">
        <v>115</v>
      </c>
      <c r="G2462" t="s">
        <v>70</v>
      </c>
      <c r="H2462">
        <v>26633.59</v>
      </c>
      <c r="I2462">
        <v>26633.59</v>
      </c>
      <c r="J2462">
        <v>0</v>
      </c>
      <c r="K2462">
        <v>0</v>
      </c>
      <c r="L2462">
        <v>0</v>
      </c>
    </row>
    <row r="2463" spans="1:12" x14ac:dyDescent="0.25">
      <c r="A2463" t="str">
        <f t="shared" si="38"/>
        <v>3202002763082026M09</v>
      </c>
      <c r="B2463">
        <v>51321001</v>
      </c>
      <c r="C2463">
        <v>27</v>
      </c>
      <c r="D2463">
        <v>320200</v>
      </c>
      <c r="E2463">
        <v>276308</v>
      </c>
      <c r="F2463" t="s">
        <v>115</v>
      </c>
      <c r="G2463" t="s">
        <v>71</v>
      </c>
      <c r="H2463">
        <v>26633.59</v>
      </c>
      <c r="I2463">
        <v>26633.59</v>
      </c>
      <c r="J2463">
        <v>0</v>
      </c>
      <c r="K2463">
        <v>0</v>
      </c>
      <c r="L2463">
        <v>0</v>
      </c>
    </row>
    <row r="2464" spans="1:12" x14ac:dyDescent="0.25">
      <c r="A2464" t="str">
        <f t="shared" si="38"/>
        <v>3202002763082026M10</v>
      </c>
      <c r="B2464">
        <v>51321001</v>
      </c>
      <c r="C2464">
        <v>27</v>
      </c>
      <c r="D2464">
        <v>320200</v>
      </c>
      <c r="E2464">
        <v>276308</v>
      </c>
      <c r="F2464" t="s">
        <v>115</v>
      </c>
      <c r="G2464" t="s">
        <v>72</v>
      </c>
      <c r="H2464">
        <v>26637.279999999999</v>
      </c>
      <c r="I2464">
        <v>0</v>
      </c>
      <c r="J2464">
        <v>26637.279999999999</v>
      </c>
      <c r="K2464">
        <v>0</v>
      </c>
      <c r="L2464">
        <v>0</v>
      </c>
    </row>
    <row r="2465" spans="1:12" x14ac:dyDescent="0.25">
      <c r="A2465" t="str">
        <f t="shared" si="38"/>
        <v>3202002763082026M11</v>
      </c>
      <c r="B2465">
        <v>51321001</v>
      </c>
      <c r="C2465">
        <v>27</v>
      </c>
      <c r="D2465">
        <v>320200</v>
      </c>
      <c r="E2465">
        <v>276308</v>
      </c>
      <c r="F2465" t="s">
        <v>115</v>
      </c>
      <c r="G2465" t="s">
        <v>73</v>
      </c>
      <c r="H2465">
        <v>26634</v>
      </c>
      <c r="I2465">
        <v>0</v>
      </c>
      <c r="J2465">
        <v>26634</v>
      </c>
      <c r="K2465">
        <v>0</v>
      </c>
      <c r="L2465">
        <v>0</v>
      </c>
    </row>
    <row r="2466" spans="1:12" x14ac:dyDescent="0.25">
      <c r="A2466" t="str">
        <f t="shared" si="38"/>
        <v>3202002763082026M12</v>
      </c>
      <c r="B2466">
        <v>51321001</v>
      </c>
      <c r="C2466">
        <v>27</v>
      </c>
      <c r="D2466">
        <v>320200</v>
      </c>
      <c r="E2466">
        <v>276308</v>
      </c>
      <c r="F2466" t="s">
        <v>115</v>
      </c>
      <c r="G2466" t="s">
        <v>74</v>
      </c>
      <c r="H2466">
        <v>53264</v>
      </c>
      <c r="I2466">
        <v>0</v>
      </c>
      <c r="J2466">
        <v>53262.99</v>
      </c>
      <c r="K2466">
        <v>0</v>
      </c>
      <c r="L2466">
        <v>1.01</v>
      </c>
    </row>
    <row r="2467" spans="1:12" x14ac:dyDescent="0.25">
      <c r="A2467" t="str">
        <f t="shared" si="38"/>
        <v>3802002759012026M02</v>
      </c>
      <c r="B2467">
        <v>51321001</v>
      </c>
      <c r="C2467">
        <v>27</v>
      </c>
      <c r="D2467">
        <v>380200</v>
      </c>
      <c r="E2467">
        <v>275901</v>
      </c>
      <c r="F2467" t="s">
        <v>115</v>
      </c>
      <c r="G2467" t="s">
        <v>64</v>
      </c>
      <c r="H2467">
        <v>254620</v>
      </c>
      <c r="I2467">
        <v>254620</v>
      </c>
      <c r="J2467">
        <v>0</v>
      </c>
      <c r="K2467">
        <v>0</v>
      </c>
      <c r="L2467">
        <v>0</v>
      </c>
    </row>
    <row r="2468" spans="1:12" x14ac:dyDescent="0.25">
      <c r="A2468" t="str">
        <f t="shared" si="38"/>
        <v>3802002759012026M03</v>
      </c>
      <c r="B2468">
        <v>51321001</v>
      </c>
      <c r="C2468">
        <v>27</v>
      </c>
      <c r="D2468">
        <v>380200</v>
      </c>
      <c r="E2468">
        <v>275901</v>
      </c>
      <c r="F2468" t="s">
        <v>115</v>
      </c>
      <c r="G2468" t="s">
        <v>65</v>
      </c>
      <c r="H2468">
        <v>254620</v>
      </c>
      <c r="I2468">
        <v>254620</v>
      </c>
      <c r="J2468">
        <v>0</v>
      </c>
      <c r="K2468">
        <v>0</v>
      </c>
      <c r="L2468">
        <v>0</v>
      </c>
    </row>
    <row r="2469" spans="1:12" x14ac:dyDescent="0.25">
      <c r="A2469" t="str">
        <f t="shared" si="38"/>
        <v>3802002759012026M04</v>
      </c>
      <c r="B2469">
        <v>51321001</v>
      </c>
      <c r="C2469">
        <v>27</v>
      </c>
      <c r="D2469">
        <v>380200</v>
      </c>
      <c r="E2469">
        <v>275901</v>
      </c>
      <c r="F2469" t="s">
        <v>115</v>
      </c>
      <c r="G2469" t="s">
        <v>66</v>
      </c>
      <c r="H2469">
        <v>254620</v>
      </c>
      <c r="I2469">
        <v>254620</v>
      </c>
      <c r="J2469">
        <v>0</v>
      </c>
      <c r="K2469">
        <v>0</v>
      </c>
      <c r="L2469">
        <v>0</v>
      </c>
    </row>
    <row r="2470" spans="1:12" x14ac:dyDescent="0.25">
      <c r="A2470" t="str">
        <f t="shared" si="38"/>
        <v>3802002759012026M05</v>
      </c>
      <c r="B2470">
        <v>51321001</v>
      </c>
      <c r="C2470">
        <v>27</v>
      </c>
      <c r="D2470">
        <v>380200</v>
      </c>
      <c r="E2470">
        <v>275901</v>
      </c>
      <c r="F2470" t="s">
        <v>115</v>
      </c>
      <c r="G2470" t="s">
        <v>67</v>
      </c>
      <c r="H2470">
        <v>254620</v>
      </c>
      <c r="I2470">
        <v>254620</v>
      </c>
      <c r="J2470">
        <v>0</v>
      </c>
      <c r="K2470">
        <v>0</v>
      </c>
      <c r="L2470">
        <v>0</v>
      </c>
    </row>
    <row r="2471" spans="1:12" x14ac:dyDescent="0.25">
      <c r="A2471" t="str">
        <f t="shared" si="38"/>
        <v>3802002759012026M06</v>
      </c>
      <c r="B2471">
        <v>51321001</v>
      </c>
      <c r="C2471">
        <v>27</v>
      </c>
      <c r="D2471">
        <v>380200</v>
      </c>
      <c r="E2471">
        <v>275901</v>
      </c>
      <c r="F2471" t="s">
        <v>115</v>
      </c>
      <c r="G2471" t="s">
        <v>68</v>
      </c>
      <c r="H2471">
        <v>254620</v>
      </c>
      <c r="I2471">
        <v>254620</v>
      </c>
      <c r="J2471">
        <v>0</v>
      </c>
      <c r="K2471">
        <v>0</v>
      </c>
      <c r="L2471">
        <v>0</v>
      </c>
    </row>
    <row r="2472" spans="1:12" x14ac:dyDescent="0.25">
      <c r="A2472" t="str">
        <f t="shared" si="38"/>
        <v>3802002759012026M07</v>
      </c>
      <c r="B2472">
        <v>51321001</v>
      </c>
      <c r="C2472">
        <v>27</v>
      </c>
      <c r="D2472">
        <v>380200</v>
      </c>
      <c r="E2472">
        <v>275901</v>
      </c>
      <c r="F2472" t="s">
        <v>115</v>
      </c>
      <c r="G2472" t="s">
        <v>69</v>
      </c>
      <c r="H2472">
        <v>254620</v>
      </c>
      <c r="I2472">
        <v>254620</v>
      </c>
      <c r="J2472">
        <v>0</v>
      </c>
      <c r="K2472">
        <v>0</v>
      </c>
      <c r="L2472">
        <v>0</v>
      </c>
    </row>
    <row r="2473" spans="1:12" x14ac:dyDescent="0.25">
      <c r="A2473" t="str">
        <f t="shared" si="38"/>
        <v>3802002759012026M08</v>
      </c>
      <c r="B2473">
        <v>51321001</v>
      </c>
      <c r="C2473">
        <v>27</v>
      </c>
      <c r="D2473">
        <v>380200</v>
      </c>
      <c r="E2473">
        <v>275901</v>
      </c>
      <c r="F2473" t="s">
        <v>115</v>
      </c>
      <c r="G2473" t="s">
        <v>70</v>
      </c>
      <c r="H2473">
        <v>254620</v>
      </c>
      <c r="I2473">
        <v>254620</v>
      </c>
      <c r="J2473">
        <v>0</v>
      </c>
      <c r="K2473">
        <v>0</v>
      </c>
      <c r="L2473">
        <v>0</v>
      </c>
    </row>
    <row r="2474" spans="1:12" x14ac:dyDescent="0.25">
      <c r="A2474" t="str">
        <f t="shared" si="38"/>
        <v>3802002759012026M09</v>
      </c>
      <c r="B2474">
        <v>51321001</v>
      </c>
      <c r="C2474">
        <v>27</v>
      </c>
      <c r="D2474">
        <v>380200</v>
      </c>
      <c r="E2474">
        <v>275901</v>
      </c>
      <c r="F2474" t="s">
        <v>115</v>
      </c>
      <c r="G2474" t="s">
        <v>71</v>
      </c>
      <c r="H2474">
        <v>254620</v>
      </c>
      <c r="I2474">
        <v>254620</v>
      </c>
      <c r="J2474">
        <v>0</v>
      </c>
      <c r="K2474">
        <v>0</v>
      </c>
      <c r="L2474">
        <v>0</v>
      </c>
    </row>
    <row r="2475" spans="1:12" x14ac:dyDescent="0.25">
      <c r="A2475" t="str">
        <f t="shared" si="38"/>
        <v>3802002759012026M10</v>
      </c>
      <c r="B2475">
        <v>51321001</v>
      </c>
      <c r="C2475">
        <v>27</v>
      </c>
      <c r="D2475">
        <v>380200</v>
      </c>
      <c r="E2475">
        <v>275901</v>
      </c>
      <c r="F2475" t="s">
        <v>115</v>
      </c>
      <c r="G2475" t="s">
        <v>72</v>
      </c>
      <c r="H2475">
        <v>254620</v>
      </c>
      <c r="I2475">
        <v>0</v>
      </c>
      <c r="J2475">
        <v>254620</v>
      </c>
      <c r="K2475">
        <v>0</v>
      </c>
      <c r="L2475">
        <v>0</v>
      </c>
    </row>
    <row r="2476" spans="1:12" x14ac:dyDescent="0.25">
      <c r="A2476" t="str">
        <f t="shared" si="38"/>
        <v>3802002759012026M11</v>
      </c>
      <c r="B2476">
        <v>51321001</v>
      </c>
      <c r="C2476">
        <v>27</v>
      </c>
      <c r="D2476">
        <v>380200</v>
      </c>
      <c r="E2476">
        <v>275901</v>
      </c>
      <c r="F2476" t="s">
        <v>115</v>
      </c>
      <c r="G2476" t="s">
        <v>73</v>
      </c>
      <c r="H2476">
        <v>254620</v>
      </c>
      <c r="I2476">
        <v>0</v>
      </c>
      <c r="J2476">
        <v>254620</v>
      </c>
      <c r="K2476">
        <v>0</v>
      </c>
      <c r="L2476">
        <v>0</v>
      </c>
    </row>
    <row r="2477" spans="1:12" x14ac:dyDescent="0.25">
      <c r="A2477" t="str">
        <f t="shared" si="38"/>
        <v>3802002759012026M12</v>
      </c>
      <c r="B2477">
        <v>51321001</v>
      </c>
      <c r="C2477">
        <v>27</v>
      </c>
      <c r="D2477">
        <v>380200</v>
      </c>
      <c r="E2477">
        <v>275901</v>
      </c>
      <c r="F2477" t="s">
        <v>115</v>
      </c>
      <c r="G2477" t="s">
        <v>74</v>
      </c>
      <c r="H2477">
        <v>509240</v>
      </c>
      <c r="I2477">
        <v>0</v>
      </c>
      <c r="J2477">
        <v>509240</v>
      </c>
      <c r="K2477">
        <v>0</v>
      </c>
      <c r="L2477">
        <v>0</v>
      </c>
    </row>
    <row r="2478" spans="1:12" x14ac:dyDescent="0.25">
      <c r="A2478" t="str">
        <f t="shared" si="38"/>
        <v>3802002759032026M02</v>
      </c>
      <c r="B2478">
        <v>51321001</v>
      </c>
      <c r="C2478">
        <v>27</v>
      </c>
      <c r="D2478">
        <v>380200</v>
      </c>
      <c r="E2478">
        <v>275903</v>
      </c>
      <c r="F2478" t="s">
        <v>115</v>
      </c>
      <c r="G2478" t="s">
        <v>64</v>
      </c>
      <c r="H2478">
        <v>25282.2</v>
      </c>
      <c r="I2478">
        <v>25282.2</v>
      </c>
      <c r="J2478">
        <v>0</v>
      </c>
      <c r="K2478">
        <v>0</v>
      </c>
      <c r="L2478">
        <v>0</v>
      </c>
    </row>
    <row r="2479" spans="1:12" x14ac:dyDescent="0.25">
      <c r="A2479" t="str">
        <f t="shared" si="38"/>
        <v>3802002759032026M03</v>
      </c>
      <c r="B2479">
        <v>51321001</v>
      </c>
      <c r="C2479">
        <v>27</v>
      </c>
      <c r="D2479">
        <v>380200</v>
      </c>
      <c r="E2479">
        <v>275903</v>
      </c>
      <c r="F2479" t="s">
        <v>115</v>
      </c>
      <c r="G2479" t="s">
        <v>65</v>
      </c>
      <c r="H2479">
        <v>25282.2</v>
      </c>
      <c r="I2479">
        <v>25282.2</v>
      </c>
      <c r="J2479">
        <v>0</v>
      </c>
      <c r="K2479">
        <v>0</v>
      </c>
      <c r="L2479">
        <v>0</v>
      </c>
    </row>
    <row r="2480" spans="1:12" x14ac:dyDescent="0.25">
      <c r="A2480" t="str">
        <f t="shared" si="38"/>
        <v>3802002759032026M04</v>
      </c>
      <c r="B2480">
        <v>51321001</v>
      </c>
      <c r="C2480">
        <v>27</v>
      </c>
      <c r="D2480">
        <v>380200</v>
      </c>
      <c r="E2480">
        <v>275903</v>
      </c>
      <c r="F2480" t="s">
        <v>115</v>
      </c>
      <c r="G2480" t="s">
        <v>66</v>
      </c>
      <c r="H2480">
        <v>25282.2</v>
      </c>
      <c r="I2480">
        <v>25282.2</v>
      </c>
      <c r="J2480">
        <v>0</v>
      </c>
      <c r="K2480">
        <v>0</v>
      </c>
      <c r="L2480">
        <v>0</v>
      </c>
    </row>
    <row r="2481" spans="1:12" x14ac:dyDescent="0.25">
      <c r="A2481" t="str">
        <f t="shared" si="38"/>
        <v>3802002759032026M05</v>
      </c>
      <c r="B2481">
        <v>51321001</v>
      </c>
      <c r="C2481">
        <v>27</v>
      </c>
      <c r="D2481">
        <v>380200</v>
      </c>
      <c r="E2481">
        <v>275903</v>
      </c>
      <c r="F2481" t="s">
        <v>115</v>
      </c>
      <c r="G2481" t="s">
        <v>67</v>
      </c>
      <c r="H2481">
        <v>25282.2</v>
      </c>
      <c r="I2481">
        <v>25282.2</v>
      </c>
      <c r="J2481">
        <v>0</v>
      </c>
      <c r="K2481">
        <v>0</v>
      </c>
      <c r="L2481">
        <v>0</v>
      </c>
    </row>
    <row r="2482" spans="1:12" x14ac:dyDescent="0.25">
      <c r="A2482" t="str">
        <f t="shared" si="38"/>
        <v>3802002759032026M06</v>
      </c>
      <c r="B2482">
        <v>51321001</v>
      </c>
      <c r="C2482">
        <v>27</v>
      </c>
      <c r="D2482">
        <v>380200</v>
      </c>
      <c r="E2482">
        <v>275903</v>
      </c>
      <c r="F2482" t="s">
        <v>115</v>
      </c>
      <c r="G2482" t="s">
        <v>68</v>
      </c>
      <c r="H2482">
        <v>25282.2</v>
      </c>
      <c r="I2482">
        <v>25282.2</v>
      </c>
      <c r="J2482">
        <v>0</v>
      </c>
      <c r="K2482">
        <v>0</v>
      </c>
      <c r="L2482">
        <v>0</v>
      </c>
    </row>
    <row r="2483" spans="1:12" x14ac:dyDescent="0.25">
      <c r="A2483" t="str">
        <f t="shared" si="38"/>
        <v>3802002759032026M07</v>
      </c>
      <c r="B2483">
        <v>51321001</v>
      </c>
      <c r="C2483">
        <v>27</v>
      </c>
      <c r="D2483">
        <v>380200</v>
      </c>
      <c r="E2483">
        <v>275903</v>
      </c>
      <c r="F2483" t="s">
        <v>115</v>
      </c>
      <c r="G2483" t="s">
        <v>69</v>
      </c>
      <c r="H2483">
        <v>25282.2</v>
      </c>
      <c r="I2483">
        <v>25282.2</v>
      </c>
      <c r="J2483">
        <v>0</v>
      </c>
      <c r="K2483">
        <v>0</v>
      </c>
      <c r="L2483">
        <v>0</v>
      </c>
    </row>
    <row r="2484" spans="1:12" x14ac:dyDescent="0.25">
      <c r="A2484" t="str">
        <f t="shared" si="38"/>
        <v>3802002759032026M08</v>
      </c>
      <c r="B2484">
        <v>51321001</v>
      </c>
      <c r="C2484">
        <v>27</v>
      </c>
      <c r="D2484">
        <v>380200</v>
      </c>
      <c r="E2484">
        <v>275903</v>
      </c>
      <c r="F2484" t="s">
        <v>115</v>
      </c>
      <c r="G2484" t="s">
        <v>70</v>
      </c>
      <c r="H2484">
        <v>0</v>
      </c>
      <c r="I2484">
        <v>0</v>
      </c>
      <c r="J2484">
        <v>0</v>
      </c>
      <c r="K2484">
        <v>0</v>
      </c>
      <c r="L2484">
        <v>0</v>
      </c>
    </row>
    <row r="2485" spans="1:12" x14ac:dyDescent="0.25">
      <c r="A2485" t="str">
        <f t="shared" si="38"/>
        <v>3802002759032026M09</v>
      </c>
      <c r="B2485">
        <v>51321001</v>
      </c>
      <c r="C2485">
        <v>27</v>
      </c>
      <c r="D2485">
        <v>380200</v>
      </c>
      <c r="E2485">
        <v>275903</v>
      </c>
      <c r="F2485" t="s">
        <v>115</v>
      </c>
      <c r="G2485" t="s">
        <v>71</v>
      </c>
      <c r="H2485">
        <v>50564.4</v>
      </c>
      <c r="I2485">
        <v>50564.4</v>
      </c>
      <c r="J2485">
        <v>0</v>
      </c>
      <c r="K2485">
        <v>0</v>
      </c>
      <c r="L2485">
        <v>0</v>
      </c>
    </row>
    <row r="2486" spans="1:12" x14ac:dyDescent="0.25">
      <c r="A2486" t="str">
        <f t="shared" si="38"/>
        <v>3802002759032026M10</v>
      </c>
      <c r="B2486">
        <v>51321001</v>
      </c>
      <c r="C2486">
        <v>27</v>
      </c>
      <c r="D2486">
        <v>380200</v>
      </c>
      <c r="E2486">
        <v>275903</v>
      </c>
      <c r="F2486" t="s">
        <v>115</v>
      </c>
      <c r="G2486" t="s">
        <v>72</v>
      </c>
      <c r="H2486">
        <v>25289.4</v>
      </c>
      <c r="I2486">
        <v>0</v>
      </c>
      <c r="J2486">
        <v>25289.4</v>
      </c>
      <c r="K2486">
        <v>0</v>
      </c>
      <c r="L2486">
        <v>0</v>
      </c>
    </row>
    <row r="2487" spans="1:12" x14ac:dyDescent="0.25">
      <c r="A2487" t="str">
        <f t="shared" si="38"/>
        <v>3802002759032026M11</v>
      </c>
      <c r="B2487">
        <v>51321001</v>
      </c>
      <c r="C2487">
        <v>27</v>
      </c>
      <c r="D2487">
        <v>380200</v>
      </c>
      <c r="E2487">
        <v>275903</v>
      </c>
      <c r="F2487" t="s">
        <v>115</v>
      </c>
      <c r="G2487" t="s">
        <v>73</v>
      </c>
      <c r="H2487">
        <v>25283</v>
      </c>
      <c r="I2487">
        <v>0</v>
      </c>
      <c r="J2487">
        <v>25283</v>
      </c>
      <c r="K2487">
        <v>0</v>
      </c>
      <c r="L2487">
        <v>0</v>
      </c>
    </row>
    <row r="2488" spans="1:12" x14ac:dyDescent="0.25">
      <c r="A2488" t="str">
        <f t="shared" si="38"/>
        <v>3802002759032026M12</v>
      </c>
      <c r="B2488">
        <v>51321001</v>
      </c>
      <c r="C2488">
        <v>27</v>
      </c>
      <c r="D2488">
        <v>380200</v>
      </c>
      <c r="E2488">
        <v>275903</v>
      </c>
      <c r="F2488" t="s">
        <v>115</v>
      </c>
      <c r="G2488" t="s">
        <v>74</v>
      </c>
      <c r="H2488">
        <v>50557</v>
      </c>
      <c r="I2488">
        <v>0</v>
      </c>
      <c r="J2488">
        <v>50555.99</v>
      </c>
      <c r="K2488">
        <v>0</v>
      </c>
      <c r="L2488">
        <v>1.01</v>
      </c>
    </row>
    <row r="2489" spans="1:12" x14ac:dyDescent="0.25">
      <c r="A2489" t="str">
        <f t="shared" si="38"/>
        <v>9001102791022026M02</v>
      </c>
      <c r="B2489">
        <v>51321001</v>
      </c>
      <c r="C2489">
        <v>27</v>
      </c>
      <c r="D2489">
        <v>900110</v>
      </c>
      <c r="E2489">
        <v>279102</v>
      </c>
      <c r="F2489" t="s">
        <v>115</v>
      </c>
      <c r="G2489" t="s">
        <v>64</v>
      </c>
      <c r="H2489">
        <v>0</v>
      </c>
      <c r="I2489">
        <v>0</v>
      </c>
      <c r="J2489">
        <v>0</v>
      </c>
      <c r="K2489">
        <v>0</v>
      </c>
      <c r="L2489">
        <v>0</v>
      </c>
    </row>
    <row r="2490" spans="1:12" x14ac:dyDescent="0.25">
      <c r="A2490" t="str">
        <f t="shared" si="38"/>
        <v>9001102791022026M03</v>
      </c>
      <c r="B2490">
        <v>51321001</v>
      </c>
      <c r="C2490">
        <v>27</v>
      </c>
      <c r="D2490">
        <v>900110</v>
      </c>
      <c r="E2490">
        <v>279102</v>
      </c>
      <c r="F2490" t="s">
        <v>115</v>
      </c>
      <c r="G2490" t="s">
        <v>65</v>
      </c>
      <c r="H2490">
        <v>62611.98</v>
      </c>
      <c r="I2490">
        <v>62611.98</v>
      </c>
      <c r="J2490">
        <v>0</v>
      </c>
      <c r="K2490">
        <v>0</v>
      </c>
      <c r="L2490">
        <v>0</v>
      </c>
    </row>
    <row r="2491" spans="1:12" x14ac:dyDescent="0.25">
      <c r="A2491" t="str">
        <f t="shared" si="38"/>
        <v>9001102791022026M04</v>
      </c>
      <c r="B2491">
        <v>51321001</v>
      </c>
      <c r="C2491">
        <v>27</v>
      </c>
      <c r="D2491">
        <v>900110</v>
      </c>
      <c r="E2491">
        <v>279102</v>
      </c>
      <c r="F2491" t="s">
        <v>115</v>
      </c>
      <c r="G2491" t="s">
        <v>66</v>
      </c>
      <c r="H2491">
        <v>31305.99</v>
      </c>
      <c r="I2491">
        <v>31305.99</v>
      </c>
      <c r="J2491">
        <v>0</v>
      </c>
      <c r="K2491">
        <v>0</v>
      </c>
      <c r="L2491">
        <v>0</v>
      </c>
    </row>
    <row r="2492" spans="1:12" x14ac:dyDescent="0.25">
      <c r="A2492" t="str">
        <f t="shared" si="38"/>
        <v>9001102791022026M05</v>
      </c>
      <c r="B2492">
        <v>51321001</v>
      </c>
      <c r="C2492">
        <v>27</v>
      </c>
      <c r="D2492">
        <v>900110</v>
      </c>
      <c r="E2492">
        <v>279102</v>
      </c>
      <c r="F2492" t="s">
        <v>115</v>
      </c>
      <c r="G2492" t="s">
        <v>67</v>
      </c>
      <c r="H2492">
        <v>31305.99</v>
      </c>
      <c r="I2492">
        <v>31305.99</v>
      </c>
      <c r="J2492">
        <v>0</v>
      </c>
      <c r="K2492">
        <v>0</v>
      </c>
      <c r="L2492">
        <v>0</v>
      </c>
    </row>
    <row r="2493" spans="1:12" x14ac:dyDescent="0.25">
      <c r="A2493" t="str">
        <f t="shared" si="38"/>
        <v>9001102791022026M06</v>
      </c>
      <c r="B2493">
        <v>51321001</v>
      </c>
      <c r="C2493">
        <v>27</v>
      </c>
      <c r="D2493">
        <v>900110</v>
      </c>
      <c r="E2493">
        <v>279102</v>
      </c>
      <c r="F2493" t="s">
        <v>115</v>
      </c>
      <c r="G2493" t="s">
        <v>68</v>
      </c>
      <c r="H2493">
        <v>31305.99</v>
      </c>
      <c r="I2493">
        <v>31305.99</v>
      </c>
      <c r="J2493">
        <v>0</v>
      </c>
      <c r="K2493">
        <v>0</v>
      </c>
      <c r="L2493">
        <v>0</v>
      </c>
    </row>
    <row r="2494" spans="1:12" x14ac:dyDescent="0.25">
      <c r="A2494" t="str">
        <f t="shared" si="38"/>
        <v>9001102791022026M07</v>
      </c>
      <c r="B2494">
        <v>51321001</v>
      </c>
      <c r="C2494">
        <v>27</v>
      </c>
      <c r="D2494">
        <v>900110</v>
      </c>
      <c r="E2494">
        <v>279102</v>
      </c>
      <c r="F2494" t="s">
        <v>115</v>
      </c>
      <c r="G2494" t="s">
        <v>69</v>
      </c>
      <c r="H2494">
        <v>31305.99</v>
      </c>
      <c r="I2494">
        <v>31305.99</v>
      </c>
      <c r="J2494">
        <v>0</v>
      </c>
      <c r="K2494">
        <v>0</v>
      </c>
      <c r="L2494">
        <v>0</v>
      </c>
    </row>
    <row r="2495" spans="1:12" x14ac:dyDescent="0.25">
      <c r="A2495" t="str">
        <f t="shared" si="38"/>
        <v>9001102791022026M08</v>
      </c>
      <c r="B2495">
        <v>51321001</v>
      </c>
      <c r="C2495">
        <v>27</v>
      </c>
      <c r="D2495">
        <v>900110</v>
      </c>
      <c r="E2495">
        <v>279102</v>
      </c>
      <c r="F2495" t="s">
        <v>115</v>
      </c>
      <c r="G2495" t="s">
        <v>70</v>
      </c>
      <c r="H2495">
        <v>0</v>
      </c>
      <c r="I2495">
        <v>0</v>
      </c>
      <c r="J2495">
        <v>0</v>
      </c>
      <c r="K2495">
        <v>0</v>
      </c>
      <c r="L2495">
        <v>0</v>
      </c>
    </row>
    <row r="2496" spans="1:12" x14ac:dyDescent="0.25">
      <c r="A2496" t="str">
        <f t="shared" si="38"/>
        <v>9001102791022026M09</v>
      </c>
      <c r="B2496">
        <v>51321001</v>
      </c>
      <c r="C2496">
        <v>27</v>
      </c>
      <c r="D2496">
        <v>900110</v>
      </c>
      <c r="E2496">
        <v>279102</v>
      </c>
      <c r="F2496" t="s">
        <v>115</v>
      </c>
      <c r="G2496" t="s">
        <v>71</v>
      </c>
      <c r="H2496">
        <v>0</v>
      </c>
      <c r="I2496">
        <v>0</v>
      </c>
      <c r="J2496">
        <v>0</v>
      </c>
      <c r="K2496">
        <v>0</v>
      </c>
      <c r="L2496">
        <v>0</v>
      </c>
    </row>
    <row r="2497" spans="1:12" x14ac:dyDescent="0.25">
      <c r="A2497" t="str">
        <f t="shared" si="38"/>
        <v>9001102791022026M10</v>
      </c>
      <c r="B2497">
        <v>51321001</v>
      </c>
      <c r="C2497">
        <v>27</v>
      </c>
      <c r="D2497">
        <v>900110</v>
      </c>
      <c r="E2497">
        <v>279102</v>
      </c>
      <c r="F2497" t="s">
        <v>115</v>
      </c>
      <c r="G2497" t="s">
        <v>72</v>
      </c>
      <c r="H2497">
        <v>93927.06</v>
      </c>
      <c r="I2497">
        <v>0</v>
      </c>
      <c r="J2497">
        <v>93927.06</v>
      </c>
      <c r="K2497">
        <v>0</v>
      </c>
      <c r="L2497">
        <v>0</v>
      </c>
    </row>
    <row r="2498" spans="1:12" x14ac:dyDescent="0.25">
      <c r="A2498" t="str">
        <f t="shared" si="38"/>
        <v>9001102791022026M11</v>
      </c>
      <c r="B2498">
        <v>51321001</v>
      </c>
      <c r="C2498">
        <v>27</v>
      </c>
      <c r="D2498">
        <v>900110</v>
      </c>
      <c r="E2498">
        <v>279102</v>
      </c>
      <c r="F2498" t="s">
        <v>115</v>
      </c>
      <c r="G2498" t="s">
        <v>73</v>
      </c>
      <c r="H2498">
        <v>31307</v>
      </c>
      <c r="I2498">
        <v>0</v>
      </c>
      <c r="J2498">
        <v>31307</v>
      </c>
      <c r="K2498">
        <v>0</v>
      </c>
      <c r="L2498">
        <v>0</v>
      </c>
    </row>
    <row r="2499" spans="1:12" x14ac:dyDescent="0.25">
      <c r="A2499" t="str">
        <f t="shared" si="38"/>
        <v>9001102791022026M12</v>
      </c>
      <c r="B2499">
        <v>51321001</v>
      </c>
      <c r="C2499">
        <v>27</v>
      </c>
      <c r="D2499">
        <v>900110</v>
      </c>
      <c r="E2499">
        <v>279102</v>
      </c>
      <c r="F2499" t="s">
        <v>115</v>
      </c>
      <c r="G2499" t="s">
        <v>74</v>
      </c>
      <c r="H2499">
        <v>62607</v>
      </c>
      <c r="I2499">
        <v>0</v>
      </c>
      <c r="J2499">
        <v>62606</v>
      </c>
      <c r="K2499">
        <v>0</v>
      </c>
      <c r="L2499">
        <v>1</v>
      </c>
    </row>
    <row r="2500" spans="1:12" x14ac:dyDescent="0.25">
      <c r="A2500" t="str">
        <f t="shared" si="38"/>
        <v>9001102791032026M02</v>
      </c>
      <c r="B2500">
        <v>51321001</v>
      </c>
      <c r="C2500">
        <v>27</v>
      </c>
      <c r="D2500">
        <v>900110</v>
      </c>
      <c r="E2500">
        <v>279103</v>
      </c>
      <c r="F2500" t="s">
        <v>115</v>
      </c>
      <c r="G2500" t="s">
        <v>64</v>
      </c>
      <c r="H2500">
        <v>116116</v>
      </c>
      <c r="I2500">
        <v>116116</v>
      </c>
      <c r="J2500">
        <v>0</v>
      </c>
      <c r="K2500">
        <v>0</v>
      </c>
      <c r="L2500">
        <v>0</v>
      </c>
    </row>
    <row r="2501" spans="1:12" x14ac:dyDescent="0.25">
      <c r="A2501" t="str">
        <f t="shared" si="38"/>
        <v>9001102791032026M03</v>
      </c>
      <c r="B2501">
        <v>51321001</v>
      </c>
      <c r="C2501">
        <v>27</v>
      </c>
      <c r="D2501">
        <v>900110</v>
      </c>
      <c r="E2501">
        <v>279103</v>
      </c>
      <c r="F2501" t="s">
        <v>115</v>
      </c>
      <c r="G2501" t="s">
        <v>65</v>
      </c>
      <c r="H2501">
        <v>116116</v>
      </c>
      <c r="I2501">
        <v>116116</v>
      </c>
      <c r="J2501">
        <v>0</v>
      </c>
      <c r="K2501">
        <v>0</v>
      </c>
      <c r="L2501">
        <v>0</v>
      </c>
    </row>
    <row r="2502" spans="1:12" x14ac:dyDescent="0.25">
      <c r="A2502" t="str">
        <f t="shared" si="38"/>
        <v>9001102791032026M04</v>
      </c>
      <c r="B2502">
        <v>51321001</v>
      </c>
      <c r="C2502">
        <v>27</v>
      </c>
      <c r="D2502">
        <v>900110</v>
      </c>
      <c r="E2502">
        <v>279103</v>
      </c>
      <c r="F2502" t="s">
        <v>115</v>
      </c>
      <c r="G2502" t="s">
        <v>66</v>
      </c>
      <c r="H2502">
        <v>116116</v>
      </c>
      <c r="I2502">
        <v>116116</v>
      </c>
      <c r="J2502">
        <v>0</v>
      </c>
      <c r="K2502">
        <v>0</v>
      </c>
      <c r="L2502">
        <v>0</v>
      </c>
    </row>
    <row r="2503" spans="1:12" x14ac:dyDescent="0.25">
      <c r="A2503" t="str">
        <f t="shared" si="38"/>
        <v>9001102791032026M05</v>
      </c>
      <c r="B2503">
        <v>51321001</v>
      </c>
      <c r="C2503">
        <v>27</v>
      </c>
      <c r="D2503">
        <v>900110</v>
      </c>
      <c r="E2503">
        <v>279103</v>
      </c>
      <c r="F2503" t="s">
        <v>115</v>
      </c>
      <c r="G2503" t="s">
        <v>67</v>
      </c>
      <c r="H2503">
        <v>116116</v>
      </c>
      <c r="I2503">
        <v>116116</v>
      </c>
      <c r="J2503">
        <v>0</v>
      </c>
      <c r="K2503">
        <v>0</v>
      </c>
      <c r="L2503">
        <v>0</v>
      </c>
    </row>
    <row r="2504" spans="1:12" x14ac:dyDescent="0.25">
      <c r="A2504" t="str">
        <f t="shared" si="38"/>
        <v>9001102791032026M06</v>
      </c>
      <c r="B2504">
        <v>51321001</v>
      </c>
      <c r="C2504">
        <v>27</v>
      </c>
      <c r="D2504">
        <v>900110</v>
      </c>
      <c r="E2504">
        <v>279103</v>
      </c>
      <c r="F2504" t="s">
        <v>115</v>
      </c>
      <c r="G2504" t="s">
        <v>68</v>
      </c>
      <c r="H2504">
        <v>116116</v>
      </c>
      <c r="I2504">
        <v>116116</v>
      </c>
      <c r="J2504">
        <v>0</v>
      </c>
      <c r="K2504">
        <v>0</v>
      </c>
      <c r="L2504">
        <v>0</v>
      </c>
    </row>
    <row r="2505" spans="1:12" x14ac:dyDescent="0.25">
      <c r="A2505" t="str">
        <f t="shared" si="38"/>
        <v>9001102791032026M07</v>
      </c>
      <c r="B2505">
        <v>51321001</v>
      </c>
      <c r="C2505">
        <v>27</v>
      </c>
      <c r="D2505">
        <v>900110</v>
      </c>
      <c r="E2505">
        <v>279103</v>
      </c>
      <c r="F2505" t="s">
        <v>115</v>
      </c>
      <c r="G2505" t="s">
        <v>69</v>
      </c>
      <c r="H2505">
        <v>116116</v>
      </c>
      <c r="I2505">
        <v>116116</v>
      </c>
      <c r="J2505">
        <v>0</v>
      </c>
      <c r="K2505">
        <v>0</v>
      </c>
      <c r="L2505">
        <v>0</v>
      </c>
    </row>
    <row r="2506" spans="1:12" x14ac:dyDescent="0.25">
      <c r="A2506" t="str">
        <f t="shared" si="38"/>
        <v>9001102791032026M08</v>
      </c>
      <c r="B2506">
        <v>51321001</v>
      </c>
      <c r="C2506">
        <v>27</v>
      </c>
      <c r="D2506">
        <v>900110</v>
      </c>
      <c r="E2506">
        <v>279103</v>
      </c>
      <c r="F2506" t="s">
        <v>115</v>
      </c>
      <c r="G2506" t="s">
        <v>70</v>
      </c>
      <c r="H2506">
        <v>0</v>
      </c>
      <c r="I2506">
        <v>0</v>
      </c>
      <c r="J2506">
        <v>0</v>
      </c>
      <c r="K2506">
        <v>0</v>
      </c>
      <c r="L2506">
        <v>0</v>
      </c>
    </row>
    <row r="2507" spans="1:12" x14ac:dyDescent="0.25">
      <c r="A2507" t="str">
        <f t="shared" ref="A2507:A2570" si="39">D2507&amp;E2507&amp;G2507</f>
        <v>9001102791032026M09</v>
      </c>
      <c r="B2507">
        <v>51321001</v>
      </c>
      <c r="C2507">
        <v>27</v>
      </c>
      <c r="D2507">
        <v>900110</v>
      </c>
      <c r="E2507">
        <v>279103</v>
      </c>
      <c r="F2507" t="s">
        <v>115</v>
      </c>
      <c r="G2507" t="s">
        <v>71</v>
      </c>
      <c r="H2507">
        <v>232232</v>
      </c>
      <c r="I2507">
        <v>232232</v>
      </c>
      <c r="J2507">
        <v>0</v>
      </c>
      <c r="K2507">
        <v>0</v>
      </c>
      <c r="L2507">
        <v>0</v>
      </c>
    </row>
    <row r="2508" spans="1:12" x14ac:dyDescent="0.25">
      <c r="A2508" t="str">
        <f t="shared" si="39"/>
        <v>9001102791032026M10</v>
      </c>
      <c r="B2508">
        <v>51321001</v>
      </c>
      <c r="C2508">
        <v>27</v>
      </c>
      <c r="D2508">
        <v>900110</v>
      </c>
      <c r="E2508">
        <v>279103</v>
      </c>
      <c r="F2508" t="s">
        <v>115</v>
      </c>
      <c r="G2508" t="s">
        <v>72</v>
      </c>
      <c r="H2508">
        <v>116116</v>
      </c>
      <c r="I2508">
        <v>0</v>
      </c>
      <c r="J2508">
        <v>116116</v>
      </c>
      <c r="K2508">
        <v>0</v>
      </c>
      <c r="L2508">
        <v>0</v>
      </c>
    </row>
    <row r="2509" spans="1:12" x14ac:dyDescent="0.25">
      <c r="A2509" t="str">
        <f t="shared" si="39"/>
        <v>9001102791032026M11</v>
      </c>
      <c r="B2509">
        <v>51321001</v>
      </c>
      <c r="C2509">
        <v>27</v>
      </c>
      <c r="D2509">
        <v>900110</v>
      </c>
      <c r="E2509">
        <v>279103</v>
      </c>
      <c r="F2509" t="s">
        <v>115</v>
      </c>
      <c r="G2509" t="s">
        <v>73</v>
      </c>
      <c r="H2509">
        <v>116116</v>
      </c>
      <c r="I2509">
        <v>0</v>
      </c>
      <c r="J2509">
        <v>116116</v>
      </c>
      <c r="K2509">
        <v>0</v>
      </c>
      <c r="L2509">
        <v>0</v>
      </c>
    </row>
    <row r="2510" spans="1:12" x14ac:dyDescent="0.25">
      <c r="A2510" t="str">
        <f t="shared" si="39"/>
        <v>9001102791032026M12</v>
      </c>
      <c r="B2510">
        <v>51321001</v>
      </c>
      <c r="C2510">
        <v>27</v>
      </c>
      <c r="D2510">
        <v>900110</v>
      </c>
      <c r="E2510">
        <v>279103</v>
      </c>
      <c r="F2510" t="s">
        <v>115</v>
      </c>
      <c r="G2510" t="s">
        <v>74</v>
      </c>
      <c r="H2510">
        <v>232232</v>
      </c>
      <c r="I2510">
        <v>0</v>
      </c>
      <c r="J2510">
        <v>232232</v>
      </c>
      <c r="K2510">
        <v>0</v>
      </c>
      <c r="L2510">
        <v>0</v>
      </c>
    </row>
    <row r="2511" spans="1:12" x14ac:dyDescent="0.25">
      <c r="A2511" t="str">
        <f t="shared" si="39"/>
        <v>9001102791042026M02</v>
      </c>
      <c r="B2511">
        <v>51321001</v>
      </c>
      <c r="C2511">
        <v>27</v>
      </c>
      <c r="D2511">
        <v>900110</v>
      </c>
      <c r="E2511">
        <v>279104</v>
      </c>
      <c r="F2511" t="s">
        <v>115</v>
      </c>
      <c r="G2511" t="s">
        <v>64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25">
      <c r="A2512" t="str">
        <f t="shared" si="39"/>
        <v>9001102791042026M03</v>
      </c>
      <c r="B2512">
        <v>51321001</v>
      </c>
      <c r="C2512">
        <v>27</v>
      </c>
      <c r="D2512">
        <v>900110</v>
      </c>
      <c r="E2512">
        <v>279104</v>
      </c>
      <c r="F2512" t="s">
        <v>115</v>
      </c>
      <c r="G2512" t="s">
        <v>65</v>
      </c>
      <c r="H2512">
        <v>86184</v>
      </c>
      <c r="I2512">
        <v>86184</v>
      </c>
      <c r="J2512">
        <v>0</v>
      </c>
      <c r="K2512">
        <v>0</v>
      </c>
      <c r="L2512">
        <v>0</v>
      </c>
    </row>
    <row r="2513" spans="1:12" x14ac:dyDescent="0.25">
      <c r="A2513" t="str">
        <f t="shared" si="39"/>
        <v>9001102791042026M04</v>
      </c>
      <c r="B2513">
        <v>51321001</v>
      </c>
      <c r="C2513">
        <v>27</v>
      </c>
      <c r="D2513">
        <v>900110</v>
      </c>
      <c r="E2513">
        <v>279104</v>
      </c>
      <c r="F2513" t="s">
        <v>115</v>
      </c>
      <c r="G2513" t="s">
        <v>66</v>
      </c>
      <c r="H2513">
        <v>0</v>
      </c>
      <c r="I2513">
        <v>0</v>
      </c>
      <c r="J2513">
        <v>0</v>
      </c>
      <c r="K2513">
        <v>0</v>
      </c>
      <c r="L2513">
        <v>0</v>
      </c>
    </row>
    <row r="2514" spans="1:12" x14ac:dyDescent="0.25">
      <c r="A2514" t="str">
        <f t="shared" si="39"/>
        <v>9001102791042026M05</v>
      </c>
      <c r="B2514">
        <v>51321001</v>
      </c>
      <c r="C2514">
        <v>27</v>
      </c>
      <c r="D2514">
        <v>900110</v>
      </c>
      <c r="E2514">
        <v>279104</v>
      </c>
      <c r="F2514" t="s">
        <v>115</v>
      </c>
      <c r="G2514" t="s">
        <v>67</v>
      </c>
      <c r="H2514">
        <v>86184</v>
      </c>
      <c r="I2514">
        <v>86184</v>
      </c>
      <c r="J2514">
        <v>0</v>
      </c>
      <c r="K2514">
        <v>0</v>
      </c>
      <c r="L2514">
        <v>0</v>
      </c>
    </row>
    <row r="2515" spans="1:12" x14ac:dyDescent="0.25">
      <c r="A2515" t="str">
        <f t="shared" si="39"/>
        <v>9001102791042026M06</v>
      </c>
      <c r="B2515">
        <v>51321001</v>
      </c>
      <c r="C2515">
        <v>27</v>
      </c>
      <c r="D2515">
        <v>900110</v>
      </c>
      <c r="E2515">
        <v>279104</v>
      </c>
      <c r="F2515" t="s">
        <v>115</v>
      </c>
      <c r="G2515" t="s">
        <v>68</v>
      </c>
      <c r="H2515">
        <v>0</v>
      </c>
      <c r="I2515">
        <v>0</v>
      </c>
      <c r="J2515">
        <v>0</v>
      </c>
      <c r="K2515">
        <v>0</v>
      </c>
      <c r="L2515">
        <v>0</v>
      </c>
    </row>
    <row r="2516" spans="1:12" x14ac:dyDescent="0.25">
      <c r="A2516" t="str">
        <f t="shared" si="39"/>
        <v>9001102791042026M07</v>
      </c>
      <c r="B2516">
        <v>51321001</v>
      </c>
      <c r="C2516">
        <v>27</v>
      </c>
      <c r="D2516">
        <v>900110</v>
      </c>
      <c r="E2516">
        <v>279104</v>
      </c>
      <c r="F2516" t="s">
        <v>115</v>
      </c>
      <c r="G2516" t="s">
        <v>69</v>
      </c>
      <c r="H2516">
        <v>86184</v>
      </c>
      <c r="I2516">
        <v>86184</v>
      </c>
      <c r="J2516">
        <v>0</v>
      </c>
      <c r="K2516">
        <v>0</v>
      </c>
      <c r="L2516">
        <v>0</v>
      </c>
    </row>
    <row r="2517" spans="1:12" x14ac:dyDescent="0.25">
      <c r="A2517" t="str">
        <f t="shared" si="39"/>
        <v>9001102791042026M08</v>
      </c>
      <c r="B2517">
        <v>51321001</v>
      </c>
      <c r="C2517">
        <v>27</v>
      </c>
      <c r="D2517">
        <v>900110</v>
      </c>
      <c r="E2517">
        <v>279104</v>
      </c>
      <c r="F2517" t="s">
        <v>115</v>
      </c>
      <c r="G2517" t="s">
        <v>70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x14ac:dyDescent="0.25">
      <c r="A2518" t="str">
        <f t="shared" si="39"/>
        <v>9001102791042026M09</v>
      </c>
      <c r="B2518">
        <v>51321001</v>
      </c>
      <c r="C2518">
        <v>27</v>
      </c>
      <c r="D2518">
        <v>900110</v>
      </c>
      <c r="E2518">
        <v>279104</v>
      </c>
      <c r="F2518" t="s">
        <v>115</v>
      </c>
      <c r="G2518" t="s">
        <v>71</v>
      </c>
      <c r="H2518">
        <v>86184</v>
      </c>
      <c r="I2518">
        <v>86184</v>
      </c>
      <c r="J2518">
        <v>0</v>
      </c>
      <c r="K2518">
        <v>0</v>
      </c>
      <c r="L2518">
        <v>0</v>
      </c>
    </row>
    <row r="2519" spans="1:12" x14ac:dyDescent="0.25">
      <c r="A2519" t="str">
        <f t="shared" si="39"/>
        <v>9001102791042026M10</v>
      </c>
      <c r="B2519">
        <v>51321001</v>
      </c>
      <c r="C2519">
        <v>27</v>
      </c>
      <c r="D2519">
        <v>900110</v>
      </c>
      <c r="E2519">
        <v>279104</v>
      </c>
      <c r="F2519" t="s">
        <v>115</v>
      </c>
      <c r="G2519" t="s">
        <v>72</v>
      </c>
      <c r="H2519">
        <v>43092</v>
      </c>
      <c r="I2519">
        <v>0</v>
      </c>
      <c r="J2519">
        <v>43092</v>
      </c>
      <c r="K2519">
        <v>0</v>
      </c>
      <c r="L2519">
        <v>0</v>
      </c>
    </row>
    <row r="2520" spans="1:12" x14ac:dyDescent="0.25">
      <c r="A2520" t="str">
        <f t="shared" si="39"/>
        <v>9001102791042026M11</v>
      </c>
      <c r="B2520">
        <v>51321001</v>
      </c>
      <c r="C2520">
        <v>27</v>
      </c>
      <c r="D2520">
        <v>900110</v>
      </c>
      <c r="E2520">
        <v>279104</v>
      </c>
      <c r="F2520" t="s">
        <v>115</v>
      </c>
      <c r="G2520" t="s">
        <v>73</v>
      </c>
      <c r="H2520">
        <v>43092</v>
      </c>
      <c r="I2520">
        <v>0</v>
      </c>
      <c r="J2520">
        <v>43092</v>
      </c>
      <c r="K2520">
        <v>0</v>
      </c>
      <c r="L2520">
        <v>0</v>
      </c>
    </row>
    <row r="2521" spans="1:12" x14ac:dyDescent="0.25">
      <c r="A2521" t="str">
        <f t="shared" si="39"/>
        <v>9001102791042026M12</v>
      </c>
      <c r="B2521">
        <v>51321001</v>
      </c>
      <c r="C2521">
        <v>27</v>
      </c>
      <c r="D2521">
        <v>900110</v>
      </c>
      <c r="E2521">
        <v>279104</v>
      </c>
      <c r="F2521" t="s">
        <v>115</v>
      </c>
      <c r="G2521" t="s">
        <v>74</v>
      </c>
      <c r="H2521">
        <v>86184</v>
      </c>
      <c r="I2521">
        <v>0</v>
      </c>
      <c r="J2521">
        <v>86184</v>
      </c>
      <c r="K2521">
        <v>0</v>
      </c>
      <c r="L2521">
        <v>0</v>
      </c>
    </row>
    <row r="2522" spans="1:12" x14ac:dyDescent="0.25">
      <c r="A2522" t="str">
        <f t="shared" si="39"/>
        <v>9001102791082026M02</v>
      </c>
      <c r="B2522">
        <v>51321001</v>
      </c>
      <c r="C2522">
        <v>27</v>
      </c>
      <c r="D2522">
        <v>900110</v>
      </c>
      <c r="E2522">
        <v>279108</v>
      </c>
      <c r="F2522" t="s">
        <v>115</v>
      </c>
      <c r="G2522" t="s">
        <v>64</v>
      </c>
      <c r="H2522">
        <v>0</v>
      </c>
      <c r="I2522">
        <v>0</v>
      </c>
      <c r="J2522">
        <v>0</v>
      </c>
      <c r="K2522">
        <v>0</v>
      </c>
      <c r="L2522">
        <v>0</v>
      </c>
    </row>
    <row r="2523" spans="1:12" x14ac:dyDescent="0.25">
      <c r="A2523" t="str">
        <f t="shared" si="39"/>
        <v>9001102791082026M03</v>
      </c>
      <c r="B2523">
        <v>51321001</v>
      </c>
      <c r="C2523">
        <v>27</v>
      </c>
      <c r="D2523">
        <v>900110</v>
      </c>
      <c r="E2523">
        <v>279108</v>
      </c>
      <c r="F2523" t="s">
        <v>115</v>
      </c>
      <c r="G2523" t="s">
        <v>65</v>
      </c>
      <c r="H2523">
        <v>214578</v>
      </c>
      <c r="I2523">
        <v>214578</v>
      </c>
      <c r="J2523">
        <v>0</v>
      </c>
      <c r="K2523">
        <v>0</v>
      </c>
      <c r="L2523">
        <v>0</v>
      </c>
    </row>
    <row r="2524" spans="1:12" x14ac:dyDescent="0.25">
      <c r="A2524" t="str">
        <f t="shared" si="39"/>
        <v>9001102791082026M04</v>
      </c>
      <c r="B2524">
        <v>51321001</v>
      </c>
      <c r="C2524">
        <v>27</v>
      </c>
      <c r="D2524">
        <v>900110</v>
      </c>
      <c r="E2524">
        <v>279108</v>
      </c>
      <c r="F2524" t="s">
        <v>115</v>
      </c>
      <c r="G2524" t="s">
        <v>66</v>
      </c>
      <c r="H2524">
        <v>214578.19</v>
      </c>
      <c r="I2524">
        <v>214578.19</v>
      </c>
      <c r="J2524">
        <v>0</v>
      </c>
      <c r="K2524">
        <v>0</v>
      </c>
      <c r="L2524">
        <v>0</v>
      </c>
    </row>
    <row r="2525" spans="1:12" x14ac:dyDescent="0.25">
      <c r="A2525" t="str">
        <f t="shared" si="39"/>
        <v>9001102791082026M05</v>
      </c>
      <c r="B2525">
        <v>51321001</v>
      </c>
      <c r="C2525">
        <v>27</v>
      </c>
      <c r="D2525">
        <v>900110</v>
      </c>
      <c r="E2525">
        <v>279108</v>
      </c>
      <c r="F2525" t="s">
        <v>115</v>
      </c>
      <c r="G2525" t="s">
        <v>67</v>
      </c>
      <c r="H2525">
        <v>429155.81</v>
      </c>
      <c r="I2525">
        <v>429155.81</v>
      </c>
      <c r="J2525">
        <v>0</v>
      </c>
      <c r="K2525">
        <v>0</v>
      </c>
      <c r="L2525">
        <v>0</v>
      </c>
    </row>
    <row r="2526" spans="1:12" x14ac:dyDescent="0.25">
      <c r="A2526" t="str">
        <f t="shared" si="39"/>
        <v>9001102791082026M06</v>
      </c>
      <c r="B2526">
        <v>51321001</v>
      </c>
      <c r="C2526">
        <v>27</v>
      </c>
      <c r="D2526">
        <v>900110</v>
      </c>
      <c r="E2526">
        <v>279108</v>
      </c>
      <c r="F2526" t="s">
        <v>115</v>
      </c>
      <c r="G2526" t="s">
        <v>68</v>
      </c>
      <c r="H2526">
        <v>0</v>
      </c>
      <c r="I2526">
        <v>0</v>
      </c>
      <c r="J2526">
        <v>0</v>
      </c>
      <c r="K2526">
        <v>0</v>
      </c>
      <c r="L2526">
        <v>0</v>
      </c>
    </row>
    <row r="2527" spans="1:12" x14ac:dyDescent="0.25">
      <c r="A2527" t="str">
        <f t="shared" si="39"/>
        <v>9001102791082026M07</v>
      </c>
      <c r="B2527">
        <v>51321001</v>
      </c>
      <c r="C2527">
        <v>27</v>
      </c>
      <c r="D2527">
        <v>900110</v>
      </c>
      <c r="E2527">
        <v>279108</v>
      </c>
      <c r="F2527" t="s">
        <v>115</v>
      </c>
      <c r="G2527" t="s">
        <v>69</v>
      </c>
      <c r="H2527">
        <v>429156</v>
      </c>
      <c r="I2527">
        <v>429156</v>
      </c>
      <c r="J2527">
        <v>0</v>
      </c>
      <c r="K2527">
        <v>0</v>
      </c>
      <c r="L2527">
        <v>0</v>
      </c>
    </row>
    <row r="2528" spans="1:12" x14ac:dyDescent="0.25">
      <c r="A2528" t="str">
        <f t="shared" si="39"/>
        <v>9001102791082026M08</v>
      </c>
      <c r="B2528">
        <v>51321001</v>
      </c>
      <c r="C2528">
        <v>27</v>
      </c>
      <c r="D2528">
        <v>900110</v>
      </c>
      <c r="E2528">
        <v>279108</v>
      </c>
      <c r="F2528" t="s">
        <v>115</v>
      </c>
      <c r="G2528" t="s">
        <v>70</v>
      </c>
      <c r="H2528">
        <v>214578</v>
      </c>
      <c r="I2528">
        <v>214578</v>
      </c>
      <c r="J2528">
        <v>0</v>
      </c>
      <c r="K2528">
        <v>0</v>
      </c>
      <c r="L2528">
        <v>0</v>
      </c>
    </row>
    <row r="2529" spans="1:12" x14ac:dyDescent="0.25">
      <c r="A2529" t="str">
        <f t="shared" si="39"/>
        <v>9001102791082026M09</v>
      </c>
      <c r="B2529">
        <v>51321001</v>
      </c>
      <c r="C2529">
        <v>27</v>
      </c>
      <c r="D2529">
        <v>900110</v>
      </c>
      <c r="E2529">
        <v>279108</v>
      </c>
      <c r="F2529" t="s">
        <v>115</v>
      </c>
      <c r="G2529" t="s">
        <v>71</v>
      </c>
      <c r="H2529">
        <v>214578</v>
      </c>
      <c r="I2529">
        <v>214578</v>
      </c>
      <c r="J2529">
        <v>0</v>
      </c>
      <c r="K2529">
        <v>0</v>
      </c>
      <c r="L2529">
        <v>0</v>
      </c>
    </row>
    <row r="2530" spans="1:12" x14ac:dyDescent="0.25">
      <c r="A2530" t="str">
        <f t="shared" si="39"/>
        <v>9001102791082026M10</v>
      </c>
      <c r="B2530">
        <v>51321001</v>
      </c>
      <c r="C2530">
        <v>27</v>
      </c>
      <c r="D2530">
        <v>900110</v>
      </c>
      <c r="E2530">
        <v>279108</v>
      </c>
      <c r="F2530" t="s">
        <v>115</v>
      </c>
      <c r="G2530" t="s">
        <v>72</v>
      </c>
      <c r="H2530">
        <v>214587</v>
      </c>
      <c r="I2530">
        <v>0</v>
      </c>
      <c r="J2530">
        <v>214578</v>
      </c>
      <c r="K2530">
        <v>0</v>
      </c>
      <c r="L2530">
        <v>9</v>
      </c>
    </row>
    <row r="2531" spans="1:12" x14ac:dyDescent="0.25">
      <c r="A2531" t="str">
        <f t="shared" si="39"/>
        <v>9001102791082026M11</v>
      </c>
      <c r="B2531">
        <v>51321001</v>
      </c>
      <c r="C2531">
        <v>27</v>
      </c>
      <c r="D2531">
        <v>900110</v>
      </c>
      <c r="E2531">
        <v>279108</v>
      </c>
      <c r="F2531" t="s">
        <v>115</v>
      </c>
      <c r="G2531" t="s">
        <v>73</v>
      </c>
      <c r="H2531">
        <v>214579</v>
      </c>
      <c r="I2531">
        <v>0</v>
      </c>
      <c r="J2531">
        <v>214578</v>
      </c>
      <c r="K2531">
        <v>0</v>
      </c>
      <c r="L2531">
        <v>1</v>
      </c>
    </row>
    <row r="2532" spans="1:12" x14ac:dyDescent="0.25">
      <c r="A2532" t="str">
        <f t="shared" si="39"/>
        <v>9001102791082026M12</v>
      </c>
      <c r="B2532">
        <v>51321001</v>
      </c>
      <c r="C2532">
        <v>27</v>
      </c>
      <c r="D2532">
        <v>900110</v>
      </c>
      <c r="E2532">
        <v>279108</v>
      </c>
      <c r="F2532" t="s">
        <v>115</v>
      </c>
      <c r="G2532" t="s">
        <v>74</v>
      </c>
      <c r="H2532">
        <v>429159</v>
      </c>
      <c r="I2532">
        <v>0</v>
      </c>
      <c r="J2532">
        <v>429157.99</v>
      </c>
      <c r="K2532">
        <v>0</v>
      </c>
      <c r="L2532">
        <v>1.01</v>
      </c>
    </row>
    <row r="2533" spans="1:12" x14ac:dyDescent="0.25">
      <c r="A2533" t="str">
        <f t="shared" si="39"/>
        <v>9202012780042026M02</v>
      </c>
      <c r="B2533">
        <v>51321001</v>
      </c>
      <c r="C2533">
        <v>27</v>
      </c>
      <c r="D2533">
        <v>920201</v>
      </c>
      <c r="E2533">
        <v>278004</v>
      </c>
      <c r="F2533" t="s">
        <v>115</v>
      </c>
      <c r="G2533" t="s">
        <v>64</v>
      </c>
      <c r="H2533">
        <v>12625.44</v>
      </c>
      <c r="I2533">
        <v>12625.44</v>
      </c>
      <c r="J2533">
        <v>0</v>
      </c>
      <c r="K2533">
        <v>0</v>
      </c>
      <c r="L2533">
        <v>0</v>
      </c>
    </row>
    <row r="2534" spans="1:12" x14ac:dyDescent="0.25">
      <c r="A2534" t="str">
        <f t="shared" si="39"/>
        <v>9202012780042026M03</v>
      </c>
      <c r="B2534">
        <v>51321001</v>
      </c>
      <c r="C2534">
        <v>27</v>
      </c>
      <c r="D2534">
        <v>920201</v>
      </c>
      <c r="E2534">
        <v>278004</v>
      </c>
      <c r="F2534" t="s">
        <v>115</v>
      </c>
      <c r="G2534" t="s">
        <v>65</v>
      </c>
      <c r="H2534">
        <v>12625.44</v>
      </c>
      <c r="I2534">
        <v>12625.44</v>
      </c>
      <c r="J2534">
        <v>0</v>
      </c>
      <c r="K2534">
        <v>0</v>
      </c>
      <c r="L2534">
        <v>0</v>
      </c>
    </row>
    <row r="2535" spans="1:12" x14ac:dyDescent="0.25">
      <c r="A2535" t="str">
        <f t="shared" si="39"/>
        <v>9202012780042026M04</v>
      </c>
      <c r="B2535">
        <v>51321001</v>
      </c>
      <c r="C2535">
        <v>27</v>
      </c>
      <c r="D2535">
        <v>920201</v>
      </c>
      <c r="E2535">
        <v>278004</v>
      </c>
      <c r="F2535" t="s">
        <v>115</v>
      </c>
      <c r="G2535" t="s">
        <v>66</v>
      </c>
      <c r="H2535">
        <v>12625.44</v>
      </c>
      <c r="I2535">
        <v>12625.44</v>
      </c>
      <c r="J2535">
        <v>0</v>
      </c>
      <c r="K2535">
        <v>0</v>
      </c>
      <c r="L2535">
        <v>0</v>
      </c>
    </row>
    <row r="2536" spans="1:12" x14ac:dyDescent="0.25">
      <c r="A2536" t="str">
        <f t="shared" si="39"/>
        <v>9202012780042026M05</v>
      </c>
      <c r="B2536">
        <v>51321001</v>
      </c>
      <c r="C2536">
        <v>27</v>
      </c>
      <c r="D2536">
        <v>920201</v>
      </c>
      <c r="E2536">
        <v>278004</v>
      </c>
      <c r="F2536" t="s">
        <v>115</v>
      </c>
      <c r="G2536" t="s">
        <v>67</v>
      </c>
      <c r="H2536">
        <v>12625.44</v>
      </c>
      <c r="I2536">
        <v>12625.44</v>
      </c>
      <c r="J2536">
        <v>0</v>
      </c>
      <c r="K2536">
        <v>0</v>
      </c>
      <c r="L2536">
        <v>0</v>
      </c>
    </row>
    <row r="2537" spans="1:12" x14ac:dyDescent="0.25">
      <c r="A2537" t="str">
        <f t="shared" si="39"/>
        <v>9202012780042026M06</v>
      </c>
      <c r="B2537">
        <v>51321001</v>
      </c>
      <c r="C2537">
        <v>27</v>
      </c>
      <c r="D2537">
        <v>920201</v>
      </c>
      <c r="E2537">
        <v>278004</v>
      </c>
      <c r="F2537" t="s">
        <v>115</v>
      </c>
      <c r="G2537" t="s">
        <v>68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x14ac:dyDescent="0.25">
      <c r="A2538" t="str">
        <f t="shared" si="39"/>
        <v>9202012780042026M07</v>
      </c>
      <c r="B2538">
        <v>51321001</v>
      </c>
      <c r="C2538">
        <v>27</v>
      </c>
      <c r="D2538">
        <v>920201</v>
      </c>
      <c r="E2538">
        <v>278004</v>
      </c>
      <c r="F2538" t="s">
        <v>115</v>
      </c>
      <c r="G2538" t="s">
        <v>69</v>
      </c>
      <c r="H2538">
        <v>0</v>
      </c>
      <c r="I2538">
        <v>0</v>
      </c>
      <c r="J2538">
        <v>0</v>
      </c>
      <c r="K2538">
        <v>0</v>
      </c>
      <c r="L2538">
        <v>0</v>
      </c>
    </row>
    <row r="2539" spans="1:12" x14ac:dyDescent="0.25">
      <c r="A2539" t="str">
        <f t="shared" si="39"/>
        <v>9202012780042026M08</v>
      </c>
      <c r="B2539">
        <v>51321001</v>
      </c>
      <c r="C2539">
        <v>27</v>
      </c>
      <c r="D2539">
        <v>920201</v>
      </c>
      <c r="E2539">
        <v>278004</v>
      </c>
      <c r="F2539" t="s">
        <v>115</v>
      </c>
      <c r="G2539" t="s">
        <v>70</v>
      </c>
      <c r="H2539">
        <v>37876.32</v>
      </c>
      <c r="I2539">
        <v>37876.32</v>
      </c>
      <c r="J2539">
        <v>0</v>
      </c>
      <c r="K2539">
        <v>0</v>
      </c>
      <c r="L2539">
        <v>0</v>
      </c>
    </row>
    <row r="2540" spans="1:12" x14ac:dyDescent="0.25">
      <c r="A2540" t="str">
        <f t="shared" si="39"/>
        <v>9202012780042026M09</v>
      </c>
      <c r="B2540">
        <v>51321001</v>
      </c>
      <c r="C2540">
        <v>27</v>
      </c>
      <c r="D2540">
        <v>920201</v>
      </c>
      <c r="E2540">
        <v>278004</v>
      </c>
      <c r="F2540" t="s">
        <v>115</v>
      </c>
      <c r="G2540" t="s">
        <v>71</v>
      </c>
      <c r="H2540">
        <v>0</v>
      </c>
      <c r="I2540">
        <v>0</v>
      </c>
      <c r="J2540">
        <v>0</v>
      </c>
      <c r="K2540">
        <v>0</v>
      </c>
      <c r="L2540">
        <v>0</v>
      </c>
    </row>
    <row r="2541" spans="1:12" x14ac:dyDescent="0.25">
      <c r="A2541" t="str">
        <f t="shared" si="39"/>
        <v>9202012780042026M10</v>
      </c>
      <c r="B2541">
        <v>51321001</v>
      </c>
      <c r="C2541">
        <v>27</v>
      </c>
      <c r="D2541">
        <v>920201</v>
      </c>
      <c r="E2541">
        <v>278004</v>
      </c>
      <c r="F2541" t="s">
        <v>115</v>
      </c>
      <c r="G2541" t="s">
        <v>72</v>
      </c>
      <c r="H2541">
        <v>25255.919999999998</v>
      </c>
      <c r="I2541">
        <v>0</v>
      </c>
      <c r="J2541">
        <v>25255.919999999998</v>
      </c>
      <c r="K2541">
        <v>0</v>
      </c>
      <c r="L2541">
        <v>0</v>
      </c>
    </row>
    <row r="2542" spans="1:12" x14ac:dyDescent="0.25">
      <c r="A2542" t="str">
        <f t="shared" si="39"/>
        <v>9202012780042026M11</v>
      </c>
      <c r="B2542">
        <v>51321001</v>
      </c>
      <c r="C2542">
        <v>27</v>
      </c>
      <c r="D2542">
        <v>920201</v>
      </c>
      <c r="E2542">
        <v>278004</v>
      </c>
      <c r="F2542" t="s">
        <v>115</v>
      </c>
      <c r="G2542" t="s">
        <v>73</v>
      </c>
      <c r="H2542">
        <v>12626</v>
      </c>
      <c r="I2542">
        <v>0</v>
      </c>
      <c r="J2542">
        <v>12626</v>
      </c>
      <c r="K2542">
        <v>0</v>
      </c>
      <c r="L2542">
        <v>0</v>
      </c>
    </row>
    <row r="2543" spans="1:12" x14ac:dyDescent="0.25">
      <c r="A2543" t="str">
        <f t="shared" si="39"/>
        <v>9202012780042026M12</v>
      </c>
      <c r="B2543">
        <v>51321001</v>
      </c>
      <c r="C2543">
        <v>27</v>
      </c>
      <c r="D2543">
        <v>920201</v>
      </c>
      <c r="E2543">
        <v>278004</v>
      </c>
      <c r="F2543" t="s">
        <v>115</v>
      </c>
      <c r="G2543" t="s">
        <v>74</v>
      </c>
      <c r="H2543">
        <v>25246</v>
      </c>
      <c r="I2543">
        <v>0</v>
      </c>
      <c r="J2543">
        <v>25244.99</v>
      </c>
      <c r="K2543">
        <v>0</v>
      </c>
      <c r="L2543">
        <v>1.01</v>
      </c>
    </row>
    <row r="2544" spans="1:12" x14ac:dyDescent="0.25">
      <c r="A2544" t="str">
        <f t="shared" si="39"/>
        <v>9202012780092026M02</v>
      </c>
      <c r="B2544">
        <v>51321001</v>
      </c>
      <c r="C2544">
        <v>27</v>
      </c>
      <c r="D2544">
        <v>920201</v>
      </c>
      <c r="E2544">
        <v>278009</v>
      </c>
      <c r="F2544" t="s">
        <v>115</v>
      </c>
      <c r="G2544" t="s">
        <v>64</v>
      </c>
      <c r="H2544">
        <v>0</v>
      </c>
      <c r="I2544">
        <v>0</v>
      </c>
      <c r="J2544">
        <v>0</v>
      </c>
      <c r="K2544">
        <v>0</v>
      </c>
      <c r="L2544">
        <v>0</v>
      </c>
    </row>
    <row r="2545" spans="1:12" x14ac:dyDescent="0.25">
      <c r="A2545" t="str">
        <f t="shared" si="39"/>
        <v>9202012780092026M03</v>
      </c>
      <c r="B2545">
        <v>51321001</v>
      </c>
      <c r="C2545">
        <v>27</v>
      </c>
      <c r="D2545">
        <v>920201</v>
      </c>
      <c r="E2545">
        <v>278009</v>
      </c>
      <c r="F2545" t="s">
        <v>115</v>
      </c>
      <c r="G2545" t="s">
        <v>65</v>
      </c>
      <c r="H2545">
        <v>38328.769999999997</v>
      </c>
      <c r="I2545">
        <v>38328.769999999997</v>
      </c>
      <c r="J2545">
        <v>0</v>
      </c>
      <c r="K2545">
        <v>0</v>
      </c>
      <c r="L2545">
        <v>0</v>
      </c>
    </row>
    <row r="2546" spans="1:12" x14ac:dyDescent="0.25">
      <c r="A2546" t="str">
        <f t="shared" si="39"/>
        <v>9202012780092026M04</v>
      </c>
      <c r="B2546">
        <v>51321001</v>
      </c>
      <c r="C2546">
        <v>27</v>
      </c>
      <c r="D2546">
        <v>920201</v>
      </c>
      <c r="E2546">
        <v>278009</v>
      </c>
      <c r="F2546" t="s">
        <v>115</v>
      </c>
      <c r="G2546" t="s">
        <v>66</v>
      </c>
      <c r="H2546">
        <v>38328.769999999997</v>
      </c>
      <c r="I2546">
        <v>38328.769999999997</v>
      </c>
      <c r="J2546">
        <v>0</v>
      </c>
      <c r="K2546">
        <v>0</v>
      </c>
      <c r="L2546">
        <v>0</v>
      </c>
    </row>
    <row r="2547" spans="1:12" x14ac:dyDescent="0.25">
      <c r="A2547" t="str">
        <f t="shared" si="39"/>
        <v>9202012780092026M05</v>
      </c>
      <c r="B2547">
        <v>51321001</v>
      </c>
      <c r="C2547">
        <v>27</v>
      </c>
      <c r="D2547">
        <v>920201</v>
      </c>
      <c r="E2547">
        <v>278009</v>
      </c>
      <c r="F2547" t="s">
        <v>115</v>
      </c>
      <c r="G2547" t="s">
        <v>67</v>
      </c>
      <c r="H2547">
        <v>38328.769999999997</v>
      </c>
      <c r="I2547">
        <v>38328.769999999997</v>
      </c>
      <c r="J2547">
        <v>0</v>
      </c>
      <c r="K2547">
        <v>0</v>
      </c>
      <c r="L2547">
        <v>0</v>
      </c>
    </row>
    <row r="2548" spans="1:12" x14ac:dyDescent="0.25">
      <c r="A2548" t="str">
        <f t="shared" si="39"/>
        <v>9202012780092026M06</v>
      </c>
      <c r="B2548">
        <v>51321001</v>
      </c>
      <c r="C2548">
        <v>27</v>
      </c>
      <c r="D2548">
        <v>920201</v>
      </c>
      <c r="E2548">
        <v>278009</v>
      </c>
      <c r="F2548" t="s">
        <v>115</v>
      </c>
      <c r="G2548" t="s">
        <v>68</v>
      </c>
      <c r="H2548">
        <v>76657.59</v>
      </c>
      <c r="I2548">
        <v>76657.59</v>
      </c>
      <c r="J2548">
        <v>0</v>
      </c>
      <c r="K2548">
        <v>0</v>
      </c>
      <c r="L2548">
        <v>0</v>
      </c>
    </row>
    <row r="2549" spans="1:12" x14ac:dyDescent="0.25">
      <c r="A2549" t="str">
        <f t="shared" si="39"/>
        <v>9202012780092026M07</v>
      </c>
      <c r="B2549">
        <v>51321001</v>
      </c>
      <c r="C2549">
        <v>27</v>
      </c>
      <c r="D2549">
        <v>920201</v>
      </c>
      <c r="E2549">
        <v>278009</v>
      </c>
      <c r="F2549" t="s">
        <v>115</v>
      </c>
      <c r="G2549" t="s">
        <v>69</v>
      </c>
      <c r="H2549">
        <v>0</v>
      </c>
      <c r="I2549">
        <v>0</v>
      </c>
      <c r="J2549">
        <v>0</v>
      </c>
      <c r="K2549">
        <v>0</v>
      </c>
      <c r="L2549">
        <v>0</v>
      </c>
    </row>
    <row r="2550" spans="1:12" x14ac:dyDescent="0.25">
      <c r="A2550" t="str">
        <f t="shared" si="39"/>
        <v>9202012780092026M08</v>
      </c>
      <c r="B2550">
        <v>51321001</v>
      </c>
      <c r="C2550">
        <v>27</v>
      </c>
      <c r="D2550">
        <v>920201</v>
      </c>
      <c r="E2550">
        <v>278009</v>
      </c>
      <c r="F2550" t="s">
        <v>115</v>
      </c>
      <c r="G2550" t="s">
        <v>70</v>
      </c>
      <c r="H2550">
        <v>38328.769999999997</v>
      </c>
      <c r="I2550">
        <v>38328.769999999997</v>
      </c>
      <c r="J2550">
        <v>0</v>
      </c>
      <c r="K2550">
        <v>0</v>
      </c>
      <c r="L2550">
        <v>0</v>
      </c>
    </row>
    <row r="2551" spans="1:12" x14ac:dyDescent="0.25">
      <c r="A2551" t="str">
        <f t="shared" si="39"/>
        <v>9202012780092026M09</v>
      </c>
      <c r="B2551">
        <v>51321001</v>
      </c>
      <c r="C2551">
        <v>27</v>
      </c>
      <c r="D2551">
        <v>920201</v>
      </c>
      <c r="E2551">
        <v>278009</v>
      </c>
      <c r="F2551" t="s">
        <v>115</v>
      </c>
      <c r="G2551" t="s">
        <v>71</v>
      </c>
      <c r="H2551">
        <v>76657.59</v>
      </c>
      <c r="I2551">
        <v>76657.59</v>
      </c>
      <c r="J2551">
        <v>0</v>
      </c>
      <c r="K2551">
        <v>0</v>
      </c>
      <c r="L2551">
        <v>0</v>
      </c>
    </row>
    <row r="2552" spans="1:12" x14ac:dyDescent="0.25">
      <c r="A2552" t="str">
        <f t="shared" si="39"/>
        <v>9202012780092026M10</v>
      </c>
      <c r="B2552">
        <v>51321001</v>
      </c>
      <c r="C2552">
        <v>27</v>
      </c>
      <c r="D2552">
        <v>920201</v>
      </c>
      <c r="E2552">
        <v>278009</v>
      </c>
      <c r="F2552" t="s">
        <v>115</v>
      </c>
      <c r="G2552" t="s">
        <v>72</v>
      </c>
      <c r="H2552">
        <v>38348.74</v>
      </c>
      <c r="I2552">
        <v>0</v>
      </c>
      <c r="J2552">
        <v>38348.74</v>
      </c>
      <c r="K2552">
        <v>0</v>
      </c>
      <c r="L2552">
        <v>0</v>
      </c>
    </row>
    <row r="2553" spans="1:12" x14ac:dyDescent="0.25">
      <c r="A2553" t="str">
        <f t="shared" si="39"/>
        <v>9202012780092026M11</v>
      </c>
      <c r="B2553">
        <v>51321001</v>
      </c>
      <c r="C2553">
        <v>27</v>
      </c>
      <c r="D2553">
        <v>920201</v>
      </c>
      <c r="E2553">
        <v>278009</v>
      </c>
      <c r="F2553" t="s">
        <v>115</v>
      </c>
      <c r="G2553" t="s">
        <v>73</v>
      </c>
      <c r="H2553">
        <v>38331</v>
      </c>
      <c r="I2553">
        <v>0</v>
      </c>
      <c r="J2553">
        <v>38331</v>
      </c>
      <c r="K2553">
        <v>0</v>
      </c>
      <c r="L2553">
        <v>0</v>
      </c>
    </row>
    <row r="2554" spans="1:12" x14ac:dyDescent="0.25">
      <c r="A2554" t="str">
        <f t="shared" si="39"/>
        <v>9202012780092026M12</v>
      </c>
      <c r="B2554">
        <v>51321001</v>
      </c>
      <c r="C2554">
        <v>27</v>
      </c>
      <c r="D2554">
        <v>920201</v>
      </c>
      <c r="E2554">
        <v>278009</v>
      </c>
      <c r="F2554" t="s">
        <v>115</v>
      </c>
      <c r="G2554" t="s">
        <v>74</v>
      </c>
      <c r="H2554">
        <v>76656</v>
      </c>
      <c r="I2554">
        <v>0</v>
      </c>
      <c r="J2554">
        <v>76655</v>
      </c>
      <c r="K2554">
        <v>0</v>
      </c>
      <c r="L2554">
        <v>1</v>
      </c>
    </row>
    <row r="2555" spans="1:12" x14ac:dyDescent="0.25">
      <c r="A2555" t="str">
        <f t="shared" si="39"/>
        <v>9202012780102026M02</v>
      </c>
      <c r="B2555">
        <v>51321001</v>
      </c>
      <c r="C2555">
        <v>27</v>
      </c>
      <c r="D2555">
        <v>920201</v>
      </c>
      <c r="E2555">
        <v>278010</v>
      </c>
      <c r="F2555" t="s">
        <v>115</v>
      </c>
      <c r="G2555" t="s">
        <v>64</v>
      </c>
      <c r="H2555">
        <v>0</v>
      </c>
      <c r="I2555">
        <v>0</v>
      </c>
      <c r="J2555">
        <v>0</v>
      </c>
      <c r="K2555">
        <v>0</v>
      </c>
      <c r="L2555">
        <v>0</v>
      </c>
    </row>
    <row r="2556" spans="1:12" x14ac:dyDescent="0.25">
      <c r="A2556" t="str">
        <f t="shared" si="39"/>
        <v>9202012780102026M03</v>
      </c>
      <c r="B2556">
        <v>51321001</v>
      </c>
      <c r="C2556">
        <v>27</v>
      </c>
      <c r="D2556">
        <v>920201</v>
      </c>
      <c r="E2556">
        <v>278010</v>
      </c>
      <c r="F2556" t="s">
        <v>115</v>
      </c>
      <c r="G2556" t="s">
        <v>65</v>
      </c>
      <c r="H2556">
        <v>14680.43</v>
      </c>
      <c r="I2556">
        <v>14680.43</v>
      </c>
      <c r="J2556">
        <v>0</v>
      </c>
      <c r="K2556">
        <v>0</v>
      </c>
      <c r="L2556">
        <v>0</v>
      </c>
    </row>
    <row r="2557" spans="1:12" x14ac:dyDescent="0.25">
      <c r="A2557" t="str">
        <f t="shared" si="39"/>
        <v>9202012780102026M04</v>
      </c>
      <c r="B2557">
        <v>51321001</v>
      </c>
      <c r="C2557">
        <v>27</v>
      </c>
      <c r="D2557">
        <v>920201</v>
      </c>
      <c r="E2557">
        <v>278010</v>
      </c>
      <c r="F2557" t="s">
        <v>115</v>
      </c>
      <c r="G2557" t="s">
        <v>66</v>
      </c>
      <c r="H2557">
        <v>0</v>
      </c>
      <c r="I2557">
        <v>0</v>
      </c>
      <c r="J2557">
        <v>0</v>
      </c>
      <c r="K2557">
        <v>0</v>
      </c>
      <c r="L2557">
        <v>0</v>
      </c>
    </row>
    <row r="2558" spans="1:12" x14ac:dyDescent="0.25">
      <c r="A2558" t="str">
        <f t="shared" si="39"/>
        <v>9202012780102026M05</v>
      </c>
      <c r="B2558">
        <v>51321001</v>
      </c>
      <c r="C2558">
        <v>27</v>
      </c>
      <c r="D2558">
        <v>920201</v>
      </c>
      <c r="E2558">
        <v>278010</v>
      </c>
      <c r="F2558" t="s">
        <v>115</v>
      </c>
      <c r="G2558" t="s">
        <v>67</v>
      </c>
      <c r="H2558">
        <v>14680.43</v>
      </c>
      <c r="I2558">
        <v>14680.43</v>
      </c>
      <c r="J2558">
        <v>0</v>
      </c>
      <c r="K2558">
        <v>0</v>
      </c>
      <c r="L2558">
        <v>0</v>
      </c>
    </row>
    <row r="2559" spans="1:12" x14ac:dyDescent="0.25">
      <c r="A2559" t="str">
        <f t="shared" si="39"/>
        <v>9202012780102026M06</v>
      </c>
      <c r="B2559">
        <v>51321001</v>
      </c>
      <c r="C2559">
        <v>27</v>
      </c>
      <c r="D2559">
        <v>920201</v>
      </c>
      <c r="E2559">
        <v>278010</v>
      </c>
      <c r="F2559" t="s">
        <v>115</v>
      </c>
      <c r="G2559" t="s">
        <v>68</v>
      </c>
      <c r="H2559">
        <v>0</v>
      </c>
      <c r="I2559">
        <v>0</v>
      </c>
      <c r="J2559">
        <v>0</v>
      </c>
      <c r="K2559">
        <v>0</v>
      </c>
      <c r="L2559">
        <v>0</v>
      </c>
    </row>
    <row r="2560" spans="1:12" x14ac:dyDescent="0.25">
      <c r="A2560" t="str">
        <f t="shared" si="39"/>
        <v>9202012780102026M07</v>
      </c>
      <c r="B2560">
        <v>51321001</v>
      </c>
      <c r="C2560">
        <v>27</v>
      </c>
      <c r="D2560">
        <v>920201</v>
      </c>
      <c r="E2560">
        <v>278010</v>
      </c>
      <c r="F2560" t="s">
        <v>115</v>
      </c>
      <c r="G2560" t="s">
        <v>69</v>
      </c>
      <c r="H2560">
        <v>14680.43</v>
      </c>
      <c r="I2560">
        <v>14680.43</v>
      </c>
      <c r="J2560">
        <v>0</v>
      </c>
      <c r="K2560">
        <v>0</v>
      </c>
      <c r="L2560">
        <v>0</v>
      </c>
    </row>
    <row r="2561" spans="1:12" x14ac:dyDescent="0.25">
      <c r="A2561" t="str">
        <f t="shared" si="39"/>
        <v>9202012780102026M08</v>
      </c>
      <c r="B2561">
        <v>51321001</v>
      </c>
      <c r="C2561">
        <v>27</v>
      </c>
      <c r="D2561">
        <v>920201</v>
      </c>
      <c r="E2561">
        <v>278010</v>
      </c>
      <c r="F2561" t="s">
        <v>115</v>
      </c>
      <c r="G2561" t="s">
        <v>70</v>
      </c>
      <c r="H2561">
        <v>0</v>
      </c>
      <c r="I2561">
        <v>0</v>
      </c>
      <c r="J2561">
        <v>0</v>
      </c>
      <c r="K2561">
        <v>0</v>
      </c>
      <c r="L2561">
        <v>0</v>
      </c>
    </row>
    <row r="2562" spans="1:12" x14ac:dyDescent="0.25">
      <c r="A2562" t="str">
        <f t="shared" si="39"/>
        <v>9202012780102026M09</v>
      </c>
      <c r="B2562">
        <v>51321001</v>
      </c>
      <c r="C2562">
        <v>27</v>
      </c>
      <c r="D2562">
        <v>920201</v>
      </c>
      <c r="E2562">
        <v>278010</v>
      </c>
      <c r="F2562" t="s">
        <v>115</v>
      </c>
      <c r="G2562" t="s">
        <v>71</v>
      </c>
      <c r="H2562">
        <v>14680.43</v>
      </c>
      <c r="I2562">
        <v>14680.43</v>
      </c>
      <c r="J2562">
        <v>0</v>
      </c>
      <c r="K2562">
        <v>0</v>
      </c>
      <c r="L2562">
        <v>0</v>
      </c>
    </row>
    <row r="2563" spans="1:12" x14ac:dyDescent="0.25">
      <c r="A2563" t="str">
        <f t="shared" si="39"/>
        <v>9202012780102026M10</v>
      </c>
      <c r="B2563">
        <v>51321001</v>
      </c>
      <c r="C2563">
        <v>27</v>
      </c>
      <c r="D2563">
        <v>920201</v>
      </c>
      <c r="E2563">
        <v>278010</v>
      </c>
      <c r="F2563" t="s">
        <v>115</v>
      </c>
      <c r="G2563" t="s">
        <v>72</v>
      </c>
      <c r="H2563">
        <v>7347.28</v>
      </c>
      <c r="I2563">
        <v>0</v>
      </c>
      <c r="J2563">
        <v>7347.28</v>
      </c>
      <c r="K2563">
        <v>0</v>
      </c>
      <c r="L2563">
        <v>0</v>
      </c>
    </row>
    <row r="2564" spans="1:12" x14ac:dyDescent="0.25">
      <c r="A2564" t="str">
        <f t="shared" si="39"/>
        <v>9202012780102026M11</v>
      </c>
      <c r="B2564">
        <v>51321001</v>
      </c>
      <c r="C2564">
        <v>27</v>
      </c>
      <c r="D2564">
        <v>920201</v>
      </c>
      <c r="E2564">
        <v>278010</v>
      </c>
      <c r="F2564" t="s">
        <v>115</v>
      </c>
      <c r="G2564" t="s">
        <v>73</v>
      </c>
      <c r="H2564">
        <v>7341</v>
      </c>
      <c r="I2564">
        <v>0</v>
      </c>
      <c r="J2564">
        <v>7341</v>
      </c>
      <c r="K2564">
        <v>0</v>
      </c>
      <c r="L2564">
        <v>0</v>
      </c>
    </row>
    <row r="2565" spans="1:12" x14ac:dyDescent="0.25">
      <c r="A2565" t="str">
        <f t="shared" si="39"/>
        <v>9202012780102026M12</v>
      </c>
      <c r="B2565">
        <v>51321001</v>
      </c>
      <c r="C2565">
        <v>27</v>
      </c>
      <c r="D2565">
        <v>920201</v>
      </c>
      <c r="E2565">
        <v>278010</v>
      </c>
      <c r="F2565" t="s">
        <v>115</v>
      </c>
      <c r="G2565" t="s">
        <v>74</v>
      </c>
      <c r="H2565">
        <v>14676</v>
      </c>
      <c r="I2565">
        <v>0</v>
      </c>
      <c r="J2565">
        <v>14675.99</v>
      </c>
      <c r="K2565">
        <v>0</v>
      </c>
      <c r="L2565">
        <v>0.01</v>
      </c>
    </row>
    <row r="2566" spans="1:12" x14ac:dyDescent="0.25">
      <c r="A2566" t="str">
        <f t="shared" si="39"/>
        <v>9202012791062026M02</v>
      </c>
      <c r="B2566">
        <v>51321001</v>
      </c>
      <c r="C2566">
        <v>27</v>
      </c>
      <c r="D2566">
        <v>920201</v>
      </c>
      <c r="E2566">
        <v>279106</v>
      </c>
      <c r="F2566" t="s">
        <v>115</v>
      </c>
      <c r="G2566" t="s">
        <v>64</v>
      </c>
      <c r="H2566">
        <v>19858.73</v>
      </c>
      <c r="I2566">
        <v>19858.73</v>
      </c>
      <c r="J2566">
        <v>0</v>
      </c>
      <c r="K2566">
        <v>0</v>
      </c>
      <c r="L2566">
        <v>0</v>
      </c>
    </row>
    <row r="2567" spans="1:12" x14ac:dyDescent="0.25">
      <c r="A2567" t="str">
        <f t="shared" si="39"/>
        <v>9202012791062026M03</v>
      </c>
      <c r="B2567">
        <v>51321001</v>
      </c>
      <c r="C2567">
        <v>27</v>
      </c>
      <c r="D2567">
        <v>920201</v>
      </c>
      <c r="E2567">
        <v>279106</v>
      </c>
      <c r="F2567" t="s">
        <v>115</v>
      </c>
      <c r="G2567" t="s">
        <v>65</v>
      </c>
      <c r="H2567">
        <v>19858.73</v>
      </c>
      <c r="I2567">
        <v>19858.73</v>
      </c>
      <c r="J2567">
        <v>0</v>
      </c>
      <c r="K2567">
        <v>0</v>
      </c>
      <c r="L2567">
        <v>0</v>
      </c>
    </row>
    <row r="2568" spans="1:12" x14ac:dyDescent="0.25">
      <c r="A2568" t="str">
        <f t="shared" si="39"/>
        <v>9202012791062026M04</v>
      </c>
      <c r="B2568">
        <v>51321001</v>
      </c>
      <c r="C2568">
        <v>27</v>
      </c>
      <c r="D2568">
        <v>920201</v>
      </c>
      <c r="E2568">
        <v>279106</v>
      </c>
      <c r="F2568" t="s">
        <v>115</v>
      </c>
      <c r="G2568" t="s">
        <v>66</v>
      </c>
      <c r="H2568">
        <v>19858.73</v>
      </c>
      <c r="I2568">
        <v>19858.73</v>
      </c>
      <c r="J2568">
        <v>0</v>
      </c>
      <c r="K2568">
        <v>0</v>
      </c>
      <c r="L2568">
        <v>0</v>
      </c>
    </row>
    <row r="2569" spans="1:12" x14ac:dyDescent="0.25">
      <c r="A2569" t="str">
        <f t="shared" si="39"/>
        <v>9202012791062026M05</v>
      </c>
      <c r="B2569">
        <v>51321001</v>
      </c>
      <c r="C2569">
        <v>27</v>
      </c>
      <c r="D2569">
        <v>920201</v>
      </c>
      <c r="E2569">
        <v>279106</v>
      </c>
      <c r="F2569" t="s">
        <v>115</v>
      </c>
      <c r="G2569" t="s">
        <v>67</v>
      </c>
      <c r="H2569">
        <v>0</v>
      </c>
      <c r="I2569">
        <v>0</v>
      </c>
      <c r="J2569">
        <v>0</v>
      </c>
      <c r="K2569">
        <v>0</v>
      </c>
      <c r="L2569">
        <v>0</v>
      </c>
    </row>
    <row r="2570" spans="1:12" x14ac:dyDescent="0.25">
      <c r="A2570" t="str">
        <f t="shared" si="39"/>
        <v>9202012791062026M06</v>
      </c>
      <c r="B2570">
        <v>51321001</v>
      </c>
      <c r="C2570">
        <v>27</v>
      </c>
      <c r="D2570">
        <v>920201</v>
      </c>
      <c r="E2570">
        <v>279106</v>
      </c>
      <c r="F2570" t="s">
        <v>115</v>
      </c>
      <c r="G2570" t="s">
        <v>68</v>
      </c>
      <c r="H2570">
        <v>19858.73</v>
      </c>
      <c r="I2570">
        <v>19858.73</v>
      </c>
      <c r="J2570">
        <v>0</v>
      </c>
      <c r="K2570">
        <v>0</v>
      </c>
      <c r="L2570">
        <v>0</v>
      </c>
    </row>
    <row r="2571" spans="1:12" x14ac:dyDescent="0.25">
      <c r="A2571" t="str">
        <f t="shared" ref="A2571:A2634" si="40">D2571&amp;E2571&amp;G2571</f>
        <v>9202012791062026M07</v>
      </c>
      <c r="B2571">
        <v>51321001</v>
      </c>
      <c r="C2571">
        <v>27</v>
      </c>
      <c r="D2571">
        <v>920201</v>
      </c>
      <c r="E2571">
        <v>279106</v>
      </c>
      <c r="F2571" t="s">
        <v>115</v>
      </c>
      <c r="G2571" t="s">
        <v>69</v>
      </c>
      <c r="H2571">
        <v>19858.73</v>
      </c>
      <c r="I2571">
        <v>19858.73</v>
      </c>
      <c r="J2571">
        <v>0</v>
      </c>
      <c r="K2571">
        <v>0</v>
      </c>
      <c r="L2571">
        <v>0</v>
      </c>
    </row>
    <row r="2572" spans="1:12" x14ac:dyDescent="0.25">
      <c r="A2572" t="str">
        <f t="shared" si="40"/>
        <v>9202012791062026M08</v>
      </c>
      <c r="B2572">
        <v>51321001</v>
      </c>
      <c r="C2572">
        <v>27</v>
      </c>
      <c r="D2572">
        <v>920201</v>
      </c>
      <c r="E2572">
        <v>279106</v>
      </c>
      <c r="F2572" t="s">
        <v>115</v>
      </c>
      <c r="G2572" t="s">
        <v>70</v>
      </c>
      <c r="H2572">
        <v>19858.73</v>
      </c>
      <c r="I2572">
        <v>19858.73</v>
      </c>
      <c r="J2572">
        <v>0</v>
      </c>
      <c r="K2572">
        <v>0</v>
      </c>
      <c r="L2572">
        <v>0</v>
      </c>
    </row>
    <row r="2573" spans="1:12" x14ac:dyDescent="0.25">
      <c r="A2573" t="str">
        <f t="shared" si="40"/>
        <v>9202012791062026M09</v>
      </c>
      <c r="B2573">
        <v>51321001</v>
      </c>
      <c r="C2573">
        <v>27</v>
      </c>
      <c r="D2573">
        <v>920201</v>
      </c>
      <c r="E2573">
        <v>279106</v>
      </c>
      <c r="F2573" t="s">
        <v>115</v>
      </c>
      <c r="G2573" t="s">
        <v>71</v>
      </c>
      <c r="H2573">
        <v>19858.73</v>
      </c>
      <c r="I2573">
        <v>19858.73</v>
      </c>
      <c r="J2573">
        <v>0</v>
      </c>
      <c r="K2573">
        <v>0</v>
      </c>
      <c r="L2573">
        <v>0</v>
      </c>
    </row>
    <row r="2574" spans="1:12" x14ac:dyDescent="0.25">
      <c r="A2574" t="str">
        <f t="shared" si="40"/>
        <v>9202012791062026M10</v>
      </c>
      <c r="B2574">
        <v>51321001</v>
      </c>
      <c r="C2574">
        <v>27</v>
      </c>
      <c r="D2574">
        <v>920201</v>
      </c>
      <c r="E2574">
        <v>279106</v>
      </c>
      <c r="F2574" t="s">
        <v>115</v>
      </c>
      <c r="G2574" t="s">
        <v>72</v>
      </c>
      <c r="H2574">
        <v>39719.89</v>
      </c>
      <c r="I2574">
        <v>19858.73</v>
      </c>
      <c r="J2574">
        <v>19861.16</v>
      </c>
      <c r="K2574">
        <v>0</v>
      </c>
      <c r="L2574">
        <v>0</v>
      </c>
    </row>
    <row r="2575" spans="1:12" x14ac:dyDescent="0.25">
      <c r="A2575" t="str">
        <f t="shared" si="40"/>
        <v>9202012791062026M11</v>
      </c>
      <c r="B2575">
        <v>51321001</v>
      </c>
      <c r="C2575">
        <v>27</v>
      </c>
      <c r="D2575">
        <v>920201</v>
      </c>
      <c r="E2575">
        <v>279106</v>
      </c>
      <c r="F2575" t="s">
        <v>115</v>
      </c>
      <c r="G2575" t="s">
        <v>73</v>
      </c>
      <c r="H2575">
        <v>19859</v>
      </c>
      <c r="I2575">
        <v>0</v>
      </c>
      <c r="J2575">
        <v>19859</v>
      </c>
      <c r="K2575">
        <v>0</v>
      </c>
      <c r="L2575">
        <v>0</v>
      </c>
    </row>
    <row r="2576" spans="1:12" x14ac:dyDescent="0.25">
      <c r="A2576" t="str">
        <f t="shared" si="40"/>
        <v>9202012791062026M12</v>
      </c>
      <c r="B2576">
        <v>51321001</v>
      </c>
      <c r="C2576">
        <v>27</v>
      </c>
      <c r="D2576">
        <v>920201</v>
      </c>
      <c r="E2576">
        <v>279106</v>
      </c>
      <c r="F2576" t="s">
        <v>115</v>
      </c>
      <c r="G2576" t="s">
        <v>74</v>
      </c>
      <c r="H2576">
        <v>39715</v>
      </c>
      <c r="I2576">
        <v>0</v>
      </c>
      <c r="J2576">
        <v>39714.99</v>
      </c>
      <c r="K2576">
        <v>0</v>
      </c>
      <c r="L2576">
        <v>0.01</v>
      </c>
    </row>
    <row r="2577" spans="1:12" x14ac:dyDescent="0.25">
      <c r="A2577" t="str">
        <f t="shared" si="40"/>
        <v>501002890012026M02</v>
      </c>
      <c r="B2577">
        <v>51321001</v>
      </c>
      <c r="C2577">
        <v>28</v>
      </c>
      <c r="D2577">
        <v>50100</v>
      </c>
      <c r="E2577">
        <v>289001</v>
      </c>
      <c r="F2577" t="s">
        <v>115</v>
      </c>
      <c r="G2577" t="s">
        <v>64</v>
      </c>
      <c r="H2577">
        <v>0</v>
      </c>
      <c r="I2577">
        <v>0</v>
      </c>
      <c r="J2577">
        <v>0</v>
      </c>
      <c r="K2577">
        <v>0</v>
      </c>
      <c r="L2577">
        <v>0</v>
      </c>
    </row>
    <row r="2578" spans="1:12" x14ac:dyDescent="0.25">
      <c r="A2578" t="str">
        <f t="shared" si="40"/>
        <v>501002890012026M03</v>
      </c>
      <c r="B2578">
        <v>51321001</v>
      </c>
      <c r="C2578">
        <v>28</v>
      </c>
      <c r="D2578">
        <v>50100</v>
      </c>
      <c r="E2578">
        <v>289001</v>
      </c>
      <c r="F2578" t="s">
        <v>115</v>
      </c>
      <c r="G2578" t="s">
        <v>65</v>
      </c>
      <c r="H2578">
        <v>30000</v>
      </c>
      <c r="I2578">
        <v>30000</v>
      </c>
      <c r="J2578">
        <v>0</v>
      </c>
      <c r="K2578">
        <v>0</v>
      </c>
      <c r="L2578">
        <v>0</v>
      </c>
    </row>
    <row r="2579" spans="1:12" x14ac:dyDescent="0.25">
      <c r="A2579" t="str">
        <f t="shared" si="40"/>
        <v>501002890012026M04</v>
      </c>
      <c r="B2579">
        <v>51321001</v>
      </c>
      <c r="C2579">
        <v>28</v>
      </c>
      <c r="D2579">
        <v>50100</v>
      </c>
      <c r="E2579">
        <v>289001</v>
      </c>
      <c r="F2579" t="s">
        <v>115</v>
      </c>
      <c r="G2579" t="s">
        <v>66</v>
      </c>
      <c r="H2579">
        <v>15000</v>
      </c>
      <c r="I2579">
        <v>15000</v>
      </c>
      <c r="J2579">
        <v>0</v>
      </c>
      <c r="K2579">
        <v>0</v>
      </c>
      <c r="L2579">
        <v>0</v>
      </c>
    </row>
    <row r="2580" spans="1:12" x14ac:dyDescent="0.25">
      <c r="A2580" t="str">
        <f t="shared" si="40"/>
        <v>501002890012026M05</v>
      </c>
      <c r="B2580">
        <v>51321001</v>
      </c>
      <c r="C2580">
        <v>28</v>
      </c>
      <c r="D2580">
        <v>50100</v>
      </c>
      <c r="E2580">
        <v>289001</v>
      </c>
      <c r="F2580" t="s">
        <v>115</v>
      </c>
      <c r="G2580" t="s">
        <v>67</v>
      </c>
      <c r="H2580">
        <v>15000</v>
      </c>
      <c r="I2580">
        <v>15000</v>
      </c>
      <c r="J2580">
        <v>0</v>
      </c>
      <c r="K2580">
        <v>0</v>
      </c>
      <c r="L2580">
        <v>0</v>
      </c>
    </row>
    <row r="2581" spans="1:12" x14ac:dyDescent="0.25">
      <c r="A2581" t="str">
        <f t="shared" si="40"/>
        <v>501002890012026M06</v>
      </c>
      <c r="B2581">
        <v>51321001</v>
      </c>
      <c r="C2581">
        <v>28</v>
      </c>
      <c r="D2581">
        <v>50100</v>
      </c>
      <c r="E2581">
        <v>289001</v>
      </c>
      <c r="F2581" t="s">
        <v>115</v>
      </c>
      <c r="G2581" t="s">
        <v>68</v>
      </c>
      <c r="H2581">
        <v>15000</v>
      </c>
      <c r="I2581">
        <v>15000</v>
      </c>
      <c r="J2581">
        <v>0</v>
      </c>
      <c r="K2581">
        <v>0</v>
      </c>
      <c r="L2581">
        <v>0</v>
      </c>
    </row>
    <row r="2582" spans="1:12" x14ac:dyDescent="0.25">
      <c r="A2582" t="str">
        <f t="shared" si="40"/>
        <v>501002890012026M07</v>
      </c>
      <c r="B2582">
        <v>51321001</v>
      </c>
      <c r="C2582">
        <v>28</v>
      </c>
      <c r="D2582">
        <v>50100</v>
      </c>
      <c r="E2582">
        <v>289001</v>
      </c>
      <c r="F2582" t="s">
        <v>115</v>
      </c>
      <c r="G2582" t="s">
        <v>69</v>
      </c>
      <c r="H2582">
        <v>15000</v>
      </c>
      <c r="I2582">
        <v>15000</v>
      </c>
      <c r="J2582">
        <v>0</v>
      </c>
      <c r="K2582">
        <v>0</v>
      </c>
      <c r="L2582">
        <v>0</v>
      </c>
    </row>
    <row r="2583" spans="1:12" x14ac:dyDescent="0.25">
      <c r="A2583" t="str">
        <f t="shared" si="40"/>
        <v>501002890012026M08</v>
      </c>
      <c r="B2583">
        <v>51321001</v>
      </c>
      <c r="C2583">
        <v>28</v>
      </c>
      <c r="D2583">
        <v>50100</v>
      </c>
      <c r="E2583">
        <v>289001</v>
      </c>
      <c r="F2583" t="s">
        <v>115</v>
      </c>
      <c r="G2583" t="s">
        <v>70</v>
      </c>
      <c r="H2583">
        <v>15000</v>
      </c>
      <c r="I2583">
        <v>15000</v>
      </c>
      <c r="J2583">
        <v>0</v>
      </c>
      <c r="K2583">
        <v>0</v>
      </c>
      <c r="L2583">
        <v>0</v>
      </c>
    </row>
    <row r="2584" spans="1:12" x14ac:dyDescent="0.25">
      <c r="A2584" t="str">
        <f t="shared" si="40"/>
        <v>501002890012026M09</v>
      </c>
      <c r="B2584">
        <v>51321001</v>
      </c>
      <c r="C2584">
        <v>28</v>
      </c>
      <c r="D2584">
        <v>50100</v>
      </c>
      <c r="E2584">
        <v>289001</v>
      </c>
      <c r="F2584" t="s">
        <v>115</v>
      </c>
      <c r="G2584" t="s">
        <v>71</v>
      </c>
      <c r="H2584">
        <v>15000</v>
      </c>
      <c r="I2584">
        <v>15000</v>
      </c>
      <c r="J2584">
        <v>0</v>
      </c>
      <c r="K2584">
        <v>0</v>
      </c>
      <c r="L2584">
        <v>0</v>
      </c>
    </row>
    <row r="2585" spans="1:12" x14ac:dyDescent="0.25">
      <c r="A2585" t="str">
        <f t="shared" si="40"/>
        <v>501002890012026M10</v>
      </c>
      <c r="B2585">
        <v>51321001</v>
      </c>
      <c r="C2585">
        <v>28</v>
      </c>
      <c r="D2585">
        <v>50100</v>
      </c>
      <c r="E2585">
        <v>289001</v>
      </c>
      <c r="F2585" t="s">
        <v>115</v>
      </c>
      <c r="G2585" t="s">
        <v>72</v>
      </c>
      <c r="H2585">
        <v>15000</v>
      </c>
      <c r="I2585">
        <v>0</v>
      </c>
      <c r="J2585">
        <v>15000</v>
      </c>
      <c r="K2585">
        <v>0</v>
      </c>
      <c r="L2585">
        <v>0</v>
      </c>
    </row>
    <row r="2586" spans="1:12" x14ac:dyDescent="0.25">
      <c r="A2586" t="str">
        <f t="shared" si="40"/>
        <v>501002890012026M11</v>
      </c>
      <c r="B2586">
        <v>51321001</v>
      </c>
      <c r="C2586">
        <v>28</v>
      </c>
      <c r="D2586">
        <v>50100</v>
      </c>
      <c r="E2586">
        <v>289001</v>
      </c>
      <c r="F2586" t="s">
        <v>115</v>
      </c>
      <c r="G2586" t="s">
        <v>73</v>
      </c>
      <c r="H2586">
        <v>15000</v>
      </c>
      <c r="I2586">
        <v>0</v>
      </c>
      <c r="J2586">
        <v>15000</v>
      </c>
      <c r="K2586">
        <v>0</v>
      </c>
      <c r="L2586">
        <v>0</v>
      </c>
    </row>
    <row r="2587" spans="1:12" x14ac:dyDescent="0.25">
      <c r="A2587" t="str">
        <f t="shared" si="40"/>
        <v>501002890012026M12</v>
      </c>
      <c r="B2587">
        <v>51321001</v>
      </c>
      <c r="C2587">
        <v>28</v>
      </c>
      <c r="D2587">
        <v>50100</v>
      </c>
      <c r="E2587">
        <v>289001</v>
      </c>
      <c r="F2587" t="s">
        <v>115</v>
      </c>
      <c r="G2587" t="s">
        <v>74</v>
      </c>
      <c r="H2587">
        <v>30000</v>
      </c>
      <c r="I2587">
        <v>0</v>
      </c>
      <c r="J2587">
        <v>30000</v>
      </c>
      <c r="K2587">
        <v>0</v>
      </c>
      <c r="L2587">
        <v>0</v>
      </c>
    </row>
    <row r="2588" spans="1:12" x14ac:dyDescent="0.25">
      <c r="A2588" t="str">
        <f t="shared" si="40"/>
        <v>1509002880012026M02</v>
      </c>
      <c r="B2588">
        <v>51321001</v>
      </c>
      <c r="C2588">
        <v>28</v>
      </c>
      <c r="D2588">
        <v>150900</v>
      </c>
      <c r="E2588">
        <v>288001</v>
      </c>
      <c r="F2588" t="s">
        <v>115</v>
      </c>
      <c r="G2588" t="s">
        <v>64</v>
      </c>
      <c r="H2588">
        <v>0</v>
      </c>
      <c r="I2588">
        <v>0</v>
      </c>
      <c r="J2588">
        <v>0</v>
      </c>
      <c r="K2588">
        <v>0</v>
      </c>
      <c r="L2588">
        <v>0</v>
      </c>
    </row>
    <row r="2589" spans="1:12" x14ac:dyDescent="0.25">
      <c r="A2589" t="str">
        <f t="shared" si="40"/>
        <v>1509002880012026M03</v>
      </c>
      <c r="B2589">
        <v>51321001</v>
      </c>
      <c r="C2589">
        <v>28</v>
      </c>
      <c r="D2589">
        <v>150900</v>
      </c>
      <c r="E2589">
        <v>288001</v>
      </c>
      <c r="F2589" t="s">
        <v>115</v>
      </c>
      <c r="G2589" t="s">
        <v>65</v>
      </c>
      <c r="H2589">
        <v>0</v>
      </c>
      <c r="I2589">
        <v>0</v>
      </c>
      <c r="J2589">
        <v>0</v>
      </c>
      <c r="K2589">
        <v>0</v>
      </c>
      <c r="L2589">
        <v>0</v>
      </c>
    </row>
    <row r="2590" spans="1:12" x14ac:dyDescent="0.25">
      <c r="A2590" t="str">
        <f t="shared" si="40"/>
        <v>1509002880012026M04</v>
      </c>
      <c r="B2590">
        <v>51321001</v>
      </c>
      <c r="C2590">
        <v>28</v>
      </c>
      <c r="D2590">
        <v>150900</v>
      </c>
      <c r="E2590">
        <v>288001</v>
      </c>
      <c r="F2590" t="s">
        <v>115</v>
      </c>
      <c r="G2590" t="s">
        <v>66</v>
      </c>
      <c r="H2590">
        <v>0</v>
      </c>
      <c r="I2590">
        <v>0</v>
      </c>
      <c r="J2590">
        <v>0</v>
      </c>
      <c r="K2590">
        <v>0</v>
      </c>
      <c r="L2590">
        <v>0</v>
      </c>
    </row>
    <row r="2591" spans="1:12" x14ac:dyDescent="0.25">
      <c r="A2591" t="str">
        <f t="shared" si="40"/>
        <v>1509002880012026M05</v>
      </c>
      <c r="B2591">
        <v>51321001</v>
      </c>
      <c r="C2591">
        <v>28</v>
      </c>
      <c r="D2591">
        <v>150900</v>
      </c>
      <c r="E2591">
        <v>288001</v>
      </c>
      <c r="F2591" t="s">
        <v>115</v>
      </c>
      <c r="G2591" t="s">
        <v>67</v>
      </c>
      <c r="H2591">
        <v>0</v>
      </c>
      <c r="I2591">
        <v>0</v>
      </c>
      <c r="J2591">
        <v>0</v>
      </c>
      <c r="K2591">
        <v>0</v>
      </c>
      <c r="L2591">
        <v>0</v>
      </c>
    </row>
    <row r="2592" spans="1:12" x14ac:dyDescent="0.25">
      <c r="A2592" t="str">
        <f t="shared" si="40"/>
        <v>1509002880012026M06</v>
      </c>
      <c r="B2592">
        <v>51321001</v>
      </c>
      <c r="C2592">
        <v>28</v>
      </c>
      <c r="D2592">
        <v>150900</v>
      </c>
      <c r="E2592">
        <v>288001</v>
      </c>
      <c r="F2592" t="s">
        <v>115</v>
      </c>
      <c r="G2592" t="s">
        <v>68</v>
      </c>
      <c r="H2592">
        <v>0</v>
      </c>
      <c r="I2592">
        <v>0</v>
      </c>
      <c r="J2592">
        <v>0</v>
      </c>
      <c r="K2592">
        <v>0</v>
      </c>
      <c r="L2592">
        <v>0</v>
      </c>
    </row>
    <row r="2593" spans="1:12" x14ac:dyDescent="0.25">
      <c r="A2593" t="str">
        <f t="shared" si="40"/>
        <v>1509002880012026M07</v>
      </c>
      <c r="B2593">
        <v>51321001</v>
      </c>
      <c r="C2593">
        <v>28</v>
      </c>
      <c r="D2593">
        <v>150900</v>
      </c>
      <c r="E2593">
        <v>288001</v>
      </c>
      <c r="F2593" t="s">
        <v>115</v>
      </c>
      <c r="G2593" t="s">
        <v>69</v>
      </c>
      <c r="H2593">
        <v>0</v>
      </c>
      <c r="I2593">
        <v>0</v>
      </c>
      <c r="J2593">
        <v>0</v>
      </c>
      <c r="K2593">
        <v>0</v>
      </c>
      <c r="L2593">
        <v>0</v>
      </c>
    </row>
    <row r="2594" spans="1:12" x14ac:dyDescent="0.25">
      <c r="A2594" t="str">
        <f t="shared" si="40"/>
        <v>1509002880012026M08</v>
      </c>
      <c r="B2594">
        <v>51321001</v>
      </c>
      <c r="C2594">
        <v>28</v>
      </c>
      <c r="D2594">
        <v>150900</v>
      </c>
      <c r="E2594">
        <v>288001</v>
      </c>
      <c r="F2594" t="s">
        <v>115</v>
      </c>
      <c r="G2594" t="s">
        <v>70</v>
      </c>
      <c r="H2594">
        <v>0</v>
      </c>
      <c r="I2594">
        <v>0</v>
      </c>
      <c r="J2594">
        <v>0</v>
      </c>
      <c r="K2594">
        <v>0</v>
      </c>
      <c r="L2594">
        <v>0</v>
      </c>
    </row>
    <row r="2595" spans="1:12" x14ac:dyDescent="0.25">
      <c r="A2595" t="str">
        <f t="shared" si="40"/>
        <v>1509002880012026M09</v>
      </c>
      <c r="B2595">
        <v>51321001</v>
      </c>
      <c r="C2595">
        <v>28</v>
      </c>
      <c r="D2595">
        <v>150900</v>
      </c>
      <c r="E2595">
        <v>288001</v>
      </c>
      <c r="F2595" t="s">
        <v>115</v>
      </c>
      <c r="G2595" t="s">
        <v>71</v>
      </c>
      <c r="H2595">
        <v>0</v>
      </c>
      <c r="I2595">
        <v>0</v>
      </c>
      <c r="J2595">
        <v>0</v>
      </c>
      <c r="K2595">
        <v>0</v>
      </c>
      <c r="L2595">
        <v>0</v>
      </c>
    </row>
    <row r="2596" spans="1:12" x14ac:dyDescent="0.25">
      <c r="A2596" t="str">
        <f t="shared" si="40"/>
        <v>1509002880012026M10</v>
      </c>
      <c r="B2596">
        <v>51321001</v>
      </c>
      <c r="C2596">
        <v>28</v>
      </c>
      <c r="D2596">
        <v>150900</v>
      </c>
      <c r="E2596">
        <v>288001</v>
      </c>
      <c r="F2596" t="s">
        <v>115</v>
      </c>
      <c r="G2596" t="s">
        <v>72</v>
      </c>
      <c r="H2596">
        <v>0</v>
      </c>
      <c r="I2596">
        <v>0</v>
      </c>
      <c r="J2596">
        <v>0</v>
      </c>
      <c r="K2596">
        <v>0</v>
      </c>
      <c r="L2596">
        <v>0</v>
      </c>
    </row>
    <row r="2597" spans="1:12" x14ac:dyDescent="0.25">
      <c r="A2597" t="str">
        <f t="shared" si="40"/>
        <v>1509002880012026M11</v>
      </c>
      <c r="B2597">
        <v>51321001</v>
      </c>
      <c r="C2597">
        <v>28</v>
      </c>
      <c r="D2597">
        <v>150900</v>
      </c>
      <c r="E2597">
        <v>288001</v>
      </c>
      <c r="F2597" t="s">
        <v>115</v>
      </c>
      <c r="G2597" t="s">
        <v>73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x14ac:dyDescent="0.25">
      <c r="A2598" t="str">
        <f t="shared" si="40"/>
        <v>1509002880012026M12</v>
      </c>
      <c r="B2598">
        <v>51321001</v>
      </c>
      <c r="C2598">
        <v>28</v>
      </c>
      <c r="D2598">
        <v>150900</v>
      </c>
      <c r="E2598">
        <v>288001</v>
      </c>
      <c r="F2598" t="s">
        <v>115</v>
      </c>
      <c r="G2598" t="s">
        <v>74</v>
      </c>
      <c r="H2598">
        <v>0</v>
      </c>
      <c r="I2598">
        <v>0</v>
      </c>
      <c r="J2598">
        <v>0</v>
      </c>
      <c r="K2598">
        <v>0</v>
      </c>
      <c r="L2598">
        <v>0</v>
      </c>
    </row>
    <row r="2599" spans="1:12" x14ac:dyDescent="0.25">
      <c r="A2599" t="str">
        <f t="shared" si="40"/>
        <v>501002990012026M02</v>
      </c>
      <c r="B2599">
        <v>51321001</v>
      </c>
      <c r="C2599">
        <v>29</v>
      </c>
      <c r="D2599">
        <v>50100</v>
      </c>
      <c r="E2599">
        <v>299001</v>
      </c>
      <c r="F2599" t="s">
        <v>115</v>
      </c>
      <c r="G2599" t="s">
        <v>64</v>
      </c>
      <c r="H2599">
        <v>0</v>
      </c>
      <c r="I2599">
        <v>0</v>
      </c>
      <c r="J2599">
        <v>0</v>
      </c>
      <c r="K2599">
        <v>0</v>
      </c>
      <c r="L2599">
        <v>0</v>
      </c>
    </row>
    <row r="2600" spans="1:12" x14ac:dyDescent="0.25">
      <c r="A2600" t="str">
        <f t="shared" si="40"/>
        <v>501002990012026M03</v>
      </c>
      <c r="B2600">
        <v>51321001</v>
      </c>
      <c r="C2600">
        <v>29</v>
      </c>
      <c r="D2600">
        <v>50100</v>
      </c>
      <c r="E2600">
        <v>299001</v>
      </c>
      <c r="F2600" t="s">
        <v>115</v>
      </c>
      <c r="G2600" t="s">
        <v>65</v>
      </c>
      <c r="H2600">
        <v>0</v>
      </c>
      <c r="I2600">
        <v>0</v>
      </c>
      <c r="J2600">
        <v>0</v>
      </c>
      <c r="K2600">
        <v>0</v>
      </c>
      <c r="L2600">
        <v>0</v>
      </c>
    </row>
    <row r="2601" spans="1:12" x14ac:dyDescent="0.25">
      <c r="A2601" t="str">
        <f t="shared" si="40"/>
        <v>501002990012026M04</v>
      </c>
      <c r="B2601">
        <v>51321001</v>
      </c>
      <c r="C2601">
        <v>29</v>
      </c>
      <c r="D2601">
        <v>50100</v>
      </c>
      <c r="E2601">
        <v>299001</v>
      </c>
      <c r="F2601" t="s">
        <v>115</v>
      </c>
      <c r="G2601" t="s">
        <v>66</v>
      </c>
      <c r="H2601">
        <v>0</v>
      </c>
      <c r="I2601">
        <v>0</v>
      </c>
      <c r="J2601">
        <v>0</v>
      </c>
      <c r="K2601">
        <v>0</v>
      </c>
      <c r="L2601">
        <v>0</v>
      </c>
    </row>
    <row r="2602" spans="1:12" x14ac:dyDescent="0.25">
      <c r="A2602" t="str">
        <f t="shared" si="40"/>
        <v>501002990012026M05</v>
      </c>
      <c r="B2602">
        <v>51321001</v>
      </c>
      <c r="C2602">
        <v>29</v>
      </c>
      <c r="D2602">
        <v>50100</v>
      </c>
      <c r="E2602">
        <v>299001</v>
      </c>
      <c r="F2602" t="s">
        <v>115</v>
      </c>
      <c r="G2602" t="s">
        <v>67</v>
      </c>
      <c r="H2602">
        <v>79918.960000000006</v>
      </c>
      <c r="I2602">
        <v>79918.960000000006</v>
      </c>
      <c r="J2602">
        <v>0</v>
      </c>
      <c r="K2602">
        <v>0</v>
      </c>
      <c r="L2602">
        <v>0</v>
      </c>
    </row>
    <row r="2603" spans="1:12" x14ac:dyDescent="0.25">
      <c r="A2603" t="str">
        <f t="shared" si="40"/>
        <v>501002990012026M06</v>
      </c>
      <c r="B2603">
        <v>51321001</v>
      </c>
      <c r="C2603">
        <v>29</v>
      </c>
      <c r="D2603">
        <v>50100</v>
      </c>
      <c r="E2603">
        <v>299001</v>
      </c>
      <c r="F2603" t="s">
        <v>115</v>
      </c>
      <c r="G2603" t="s">
        <v>68</v>
      </c>
      <c r="H2603">
        <v>19979.740000000002</v>
      </c>
      <c r="I2603">
        <v>19979.740000000002</v>
      </c>
      <c r="J2603">
        <v>0</v>
      </c>
      <c r="K2603">
        <v>0</v>
      </c>
      <c r="L2603">
        <v>0</v>
      </c>
    </row>
    <row r="2604" spans="1:12" x14ac:dyDescent="0.25">
      <c r="A2604" t="str">
        <f t="shared" si="40"/>
        <v>501002990012026M07</v>
      </c>
      <c r="B2604">
        <v>51321001</v>
      </c>
      <c r="C2604">
        <v>29</v>
      </c>
      <c r="D2604">
        <v>50100</v>
      </c>
      <c r="E2604">
        <v>299001</v>
      </c>
      <c r="F2604" t="s">
        <v>115</v>
      </c>
      <c r="G2604" t="s">
        <v>69</v>
      </c>
      <c r="H2604">
        <v>19979.740000000002</v>
      </c>
      <c r="I2604">
        <v>19979.740000000002</v>
      </c>
      <c r="J2604">
        <v>0</v>
      </c>
      <c r="K2604">
        <v>0</v>
      </c>
      <c r="L2604">
        <v>0</v>
      </c>
    </row>
    <row r="2605" spans="1:12" x14ac:dyDescent="0.25">
      <c r="A2605" t="str">
        <f t="shared" si="40"/>
        <v>501002990012026M08</v>
      </c>
      <c r="B2605">
        <v>51321001</v>
      </c>
      <c r="C2605">
        <v>29</v>
      </c>
      <c r="D2605">
        <v>50100</v>
      </c>
      <c r="E2605">
        <v>299001</v>
      </c>
      <c r="F2605" t="s">
        <v>115</v>
      </c>
      <c r="G2605" t="s">
        <v>70</v>
      </c>
      <c r="H2605">
        <v>0</v>
      </c>
      <c r="I2605">
        <v>0</v>
      </c>
      <c r="J2605">
        <v>0</v>
      </c>
      <c r="K2605">
        <v>0</v>
      </c>
      <c r="L2605">
        <v>0</v>
      </c>
    </row>
    <row r="2606" spans="1:12" x14ac:dyDescent="0.25">
      <c r="A2606" t="str">
        <f t="shared" si="40"/>
        <v>501002990012026M09</v>
      </c>
      <c r="B2606">
        <v>51321001</v>
      </c>
      <c r="C2606">
        <v>29</v>
      </c>
      <c r="D2606">
        <v>50100</v>
      </c>
      <c r="E2606">
        <v>299001</v>
      </c>
      <c r="F2606" t="s">
        <v>115</v>
      </c>
      <c r="G2606" t="s">
        <v>71</v>
      </c>
      <c r="H2606">
        <v>0</v>
      </c>
      <c r="I2606">
        <v>0</v>
      </c>
      <c r="J2606">
        <v>0</v>
      </c>
      <c r="K2606">
        <v>0</v>
      </c>
      <c r="L2606">
        <v>0</v>
      </c>
    </row>
    <row r="2607" spans="1:12" x14ac:dyDescent="0.25">
      <c r="A2607" t="str">
        <f t="shared" si="40"/>
        <v>501002990012026M10</v>
      </c>
      <c r="B2607">
        <v>51321001</v>
      </c>
      <c r="C2607">
        <v>29</v>
      </c>
      <c r="D2607">
        <v>50100</v>
      </c>
      <c r="E2607">
        <v>299001</v>
      </c>
      <c r="F2607" t="s">
        <v>115</v>
      </c>
      <c r="G2607" t="s">
        <v>72</v>
      </c>
      <c r="H2607">
        <v>121.56</v>
      </c>
      <c r="I2607">
        <v>0</v>
      </c>
      <c r="J2607">
        <v>121.56</v>
      </c>
      <c r="K2607">
        <v>0</v>
      </c>
      <c r="L2607">
        <v>0</v>
      </c>
    </row>
    <row r="2608" spans="1:12" x14ac:dyDescent="0.25">
      <c r="A2608" t="str">
        <f t="shared" si="40"/>
        <v>501002990012026M11</v>
      </c>
      <c r="B2608">
        <v>51321001</v>
      </c>
      <c r="C2608">
        <v>29</v>
      </c>
      <c r="D2608">
        <v>50100</v>
      </c>
      <c r="E2608">
        <v>299001</v>
      </c>
      <c r="F2608" t="s">
        <v>115</v>
      </c>
      <c r="G2608" t="s">
        <v>73</v>
      </c>
      <c r="H2608">
        <v>0</v>
      </c>
      <c r="I2608">
        <v>0</v>
      </c>
      <c r="J2608">
        <v>0</v>
      </c>
      <c r="K2608">
        <v>0</v>
      </c>
      <c r="L2608">
        <v>0</v>
      </c>
    </row>
    <row r="2609" spans="1:12" x14ac:dyDescent="0.25">
      <c r="A2609" t="str">
        <f t="shared" si="40"/>
        <v>501002990012026M12</v>
      </c>
      <c r="B2609">
        <v>51321001</v>
      </c>
      <c r="C2609">
        <v>29</v>
      </c>
      <c r="D2609">
        <v>50100</v>
      </c>
      <c r="E2609">
        <v>299001</v>
      </c>
      <c r="F2609" t="s">
        <v>115</v>
      </c>
      <c r="G2609" t="s">
        <v>74</v>
      </c>
      <c r="H2609">
        <v>0</v>
      </c>
      <c r="I2609">
        <v>0</v>
      </c>
      <c r="J2609">
        <v>0</v>
      </c>
      <c r="K2609">
        <v>0</v>
      </c>
      <c r="L2609">
        <v>0</v>
      </c>
    </row>
    <row r="2610" spans="1:12" x14ac:dyDescent="0.25">
      <c r="A2610" t="str">
        <f t="shared" si="40"/>
        <v>2002222924032026M02</v>
      </c>
      <c r="B2610">
        <v>51321001</v>
      </c>
      <c r="C2610">
        <v>29</v>
      </c>
      <c r="D2610">
        <v>200222</v>
      </c>
      <c r="E2610">
        <v>292403</v>
      </c>
      <c r="F2610" t="s">
        <v>115</v>
      </c>
      <c r="G2610" t="s">
        <v>64</v>
      </c>
      <c r="H2610">
        <v>0</v>
      </c>
      <c r="I2610">
        <v>0</v>
      </c>
      <c r="J2610">
        <v>0</v>
      </c>
      <c r="K2610">
        <v>0</v>
      </c>
      <c r="L2610">
        <v>0</v>
      </c>
    </row>
    <row r="2611" spans="1:12" x14ac:dyDescent="0.25">
      <c r="A2611" t="str">
        <f t="shared" si="40"/>
        <v>2002222924032026M03</v>
      </c>
      <c r="B2611">
        <v>51321001</v>
      </c>
      <c r="C2611">
        <v>29</v>
      </c>
      <c r="D2611">
        <v>200222</v>
      </c>
      <c r="E2611">
        <v>292403</v>
      </c>
      <c r="F2611" t="s">
        <v>115</v>
      </c>
      <c r="G2611" t="s">
        <v>65</v>
      </c>
      <c r="H2611">
        <v>0</v>
      </c>
      <c r="I2611">
        <v>0</v>
      </c>
      <c r="J2611">
        <v>0</v>
      </c>
      <c r="K2611">
        <v>0</v>
      </c>
      <c r="L2611">
        <v>0</v>
      </c>
    </row>
    <row r="2612" spans="1:12" x14ac:dyDescent="0.25">
      <c r="A2612" t="str">
        <f t="shared" si="40"/>
        <v>2002222924032026M04</v>
      </c>
      <c r="B2612">
        <v>51321001</v>
      </c>
      <c r="C2612">
        <v>29</v>
      </c>
      <c r="D2612">
        <v>200222</v>
      </c>
      <c r="E2612">
        <v>292403</v>
      </c>
      <c r="F2612" t="s">
        <v>115</v>
      </c>
      <c r="G2612" t="s">
        <v>66</v>
      </c>
      <c r="H2612">
        <v>0</v>
      </c>
      <c r="I2612">
        <v>0</v>
      </c>
      <c r="J2612">
        <v>0</v>
      </c>
      <c r="K2612">
        <v>0</v>
      </c>
      <c r="L2612">
        <v>0</v>
      </c>
    </row>
    <row r="2613" spans="1:12" x14ac:dyDescent="0.25">
      <c r="A2613" t="str">
        <f t="shared" si="40"/>
        <v>2002222924032026M05</v>
      </c>
      <c r="B2613">
        <v>51321001</v>
      </c>
      <c r="C2613">
        <v>29</v>
      </c>
      <c r="D2613">
        <v>200222</v>
      </c>
      <c r="E2613">
        <v>292403</v>
      </c>
      <c r="F2613" t="s">
        <v>115</v>
      </c>
      <c r="G2613" t="s">
        <v>67</v>
      </c>
      <c r="H2613">
        <v>179113.32</v>
      </c>
      <c r="I2613">
        <v>179113.32</v>
      </c>
      <c r="J2613">
        <v>0</v>
      </c>
      <c r="K2613">
        <v>0</v>
      </c>
      <c r="L2613">
        <v>0</v>
      </c>
    </row>
    <row r="2614" spans="1:12" x14ac:dyDescent="0.25">
      <c r="A2614" t="str">
        <f t="shared" si="40"/>
        <v>2002222924032026M06</v>
      </c>
      <c r="B2614">
        <v>51321001</v>
      </c>
      <c r="C2614">
        <v>29</v>
      </c>
      <c r="D2614">
        <v>200222</v>
      </c>
      <c r="E2614">
        <v>292403</v>
      </c>
      <c r="F2614" t="s">
        <v>115</v>
      </c>
      <c r="G2614" t="s">
        <v>68</v>
      </c>
      <c r="H2614">
        <v>44778.33</v>
      </c>
      <c r="I2614">
        <v>44778.33</v>
      </c>
      <c r="J2614">
        <v>0</v>
      </c>
      <c r="K2614">
        <v>0</v>
      </c>
      <c r="L2614">
        <v>0</v>
      </c>
    </row>
    <row r="2615" spans="1:12" x14ac:dyDescent="0.25">
      <c r="A2615" t="str">
        <f t="shared" si="40"/>
        <v>2002222924032026M07</v>
      </c>
      <c r="B2615">
        <v>51321001</v>
      </c>
      <c r="C2615">
        <v>29</v>
      </c>
      <c r="D2615">
        <v>200222</v>
      </c>
      <c r="E2615">
        <v>292403</v>
      </c>
      <c r="F2615" t="s">
        <v>115</v>
      </c>
      <c r="G2615" t="s">
        <v>69</v>
      </c>
      <c r="H2615">
        <v>44778.33</v>
      </c>
      <c r="I2615">
        <v>44778.33</v>
      </c>
      <c r="J2615">
        <v>0</v>
      </c>
      <c r="K2615">
        <v>0</v>
      </c>
      <c r="L2615">
        <v>0</v>
      </c>
    </row>
    <row r="2616" spans="1:12" x14ac:dyDescent="0.25">
      <c r="A2616" t="str">
        <f t="shared" si="40"/>
        <v>2002222924032026M08</v>
      </c>
      <c r="B2616">
        <v>51321001</v>
      </c>
      <c r="C2616">
        <v>29</v>
      </c>
      <c r="D2616">
        <v>200222</v>
      </c>
      <c r="E2616">
        <v>292403</v>
      </c>
      <c r="F2616" t="s">
        <v>115</v>
      </c>
      <c r="G2616" t="s">
        <v>70</v>
      </c>
      <c r="H2616">
        <v>44778.33</v>
      </c>
      <c r="I2616">
        <v>44778.33</v>
      </c>
      <c r="J2616">
        <v>0</v>
      </c>
      <c r="K2616">
        <v>0</v>
      </c>
      <c r="L2616">
        <v>0</v>
      </c>
    </row>
    <row r="2617" spans="1:12" x14ac:dyDescent="0.25">
      <c r="A2617" t="str">
        <f t="shared" si="40"/>
        <v>2002222924032026M09</v>
      </c>
      <c r="B2617">
        <v>51321001</v>
      </c>
      <c r="C2617">
        <v>29</v>
      </c>
      <c r="D2617">
        <v>200222</v>
      </c>
      <c r="E2617">
        <v>292403</v>
      </c>
      <c r="F2617" t="s">
        <v>115</v>
      </c>
      <c r="G2617" t="s">
        <v>71</v>
      </c>
      <c r="H2617">
        <v>44778.33</v>
      </c>
      <c r="I2617">
        <v>44778.33</v>
      </c>
      <c r="J2617">
        <v>0</v>
      </c>
      <c r="K2617">
        <v>0</v>
      </c>
      <c r="L2617">
        <v>0</v>
      </c>
    </row>
    <row r="2618" spans="1:12" x14ac:dyDescent="0.25">
      <c r="A2618" t="str">
        <f t="shared" si="40"/>
        <v>2002222924032026M10</v>
      </c>
      <c r="B2618">
        <v>51321001</v>
      </c>
      <c r="C2618">
        <v>29</v>
      </c>
      <c r="D2618">
        <v>200222</v>
      </c>
      <c r="E2618">
        <v>292403</v>
      </c>
      <c r="F2618" t="s">
        <v>115</v>
      </c>
      <c r="G2618" t="s">
        <v>72</v>
      </c>
      <c r="H2618">
        <v>45324.36</v>
      </c>
      <c r="I2618">
        <v>0</v>
      </c>
      <c r="J2618">
        <v>45324.36</v>
      </c>
      <c r="K2618">
        <v>0</v>
      </c>
      <c r="L2618">
        <v>0</v>
      </c>
    </row>
    <row r="2619" spans="1:12" x14ac:dyDescent="0.25">
      <c r="A2619" t="str">
        <f t="shared" si="40"/>
        <v>2002222924032026M11</v>
      </c>
      <c r="B2619">
        <v>51321001</v>
      </c>
      <c r="C2619">
        <v>29</v>
      </c>
      <c r="D2619">
        <v>200222</v>
      </c>
      <c r="E2619">
        <v>292403</v>
      </c>
      <c r="F2619" t="s">
        <v>115</v>
      </c>
      <c r="G2619" t="s">
        <v>73</v>
      </c>
      <c r="H2619">
        <v>44839</v>
      </c>
      <c r="I2619">
        <v>0</v>
      </c>
      <c r="J2619">
        <v>44839</v>
      </c>
      <c r="K2619">
        <v>0</v>
      </c>
      <c r="L2619">
        <v>0</v>
      </c>
    </row>
    <row r="2620" spans="1:12" x14ac:dyDescent="0.25">
      <c r="A2620" t="str">
        <f t="shared" si="40"/>
        <v>2002222924032026M12</v>
      </c>
      <c r="B2620">
        <v>51321001</v>
      </c>
      <c r="C2620">
        <v>29</v>
      </c>
      <c r="D2620">
        <v>200222</v>
      </c>
      <c r="E2620">
        <v>292403</v>
      </c>
      <c r="F2620" t="s">
        <v>115</v>
      </c>
      <c r="G2620" t="s">
        <v>74</v>
      </c>
      <c r="H2620">
        <v>89678</v>
      </c>
      <c r="I2620">
        <v>0</v>
      </c>
      <c r="J2620">
        <v>89673.68</v>
      </c>
      <c r="K2620">
        <v>0</v>
      </c>
      <c r="L2620">
        <v>4.32</v>
      </c>
    </row>
    <row r="2621" spans="1:12" x14ac:dyDescent="0.25">
      <c r="A2621" t="str">
        <f t="shared" si="40"/>
        <v>2002222924072026M02</v>
      </c>
      <c r="B2621">
        <v>51321001</v>
      </c>
      <c r="C2621">
        <v>29</v>
      </c>
      <c r="D2621">
        <v>200222</v>
      </c>
      <c r="E2621">
        <v>292407</v>
      </c>
      <c r="F2621" t="s">
        <v>115</v>
      </c>
      <c r="G2621" t="s">
        <v>64</v>
      </c>
      <c r="H2621">
        <v>0</v>
      </c>
      <c r="I2621">
        <v>0</v>
      </c>
      <c r="J2621">
        <v>0</v>
      </c>
      <c r="K2621">
        <v>0</v>
      </c>
      <c r="L2621">
        <v>0</v>
      </c>
    </row>
    <row r="2622" spans="1:12" x14ac:dyDescent="0.25">
      <c r="A2622" t="str">
        <f t="shared" si="40"/>
        <v>2002222924072026M03</v>
      </c>
      <c r="B2622">
        <v>51321001</v>
      </c>
      <c r="C2622">
        <v>29</v>
      </c>
      <c r="D2622">
        <v>200222</v>
      </c>
      <c r="E2622">
        <v>292407</v>
      </c>
      <c r="F2622" t="s">
        <v>115</v>
      </c>
      <c r="G2622" t="s">
        <v>65</v>
      </c>
      <c r="H2622">
        <v>0</v>
      </c>
      <c r="I2622">
        <v>0</v>
      </c>
      <c r="J2622">
        <v>0</v>
      </c>
      <c r="K2622">
        <v>0</v>
      </c>
      <c r="L2622">
        <v>0</v>
      </c>
    </row>
    <row r="2623" spans="1:12" x14ac:dyDescent="0.25">
      <c r="A2623" t="str">
        <f t="shared" si="40"/>
        <v>2002222924072026M04</v>
      </c>
      <c r="B2623">
        <v>51321001</v>
      </c>
      <c r="C2623">
        <v>29</v>
      </c>
      <c r="D2623">
        <v>200222</v>
      </c>
      <c r="E2623">
        <v>292407</v>
      </c>
      <c r="F2623" t="s">
        <v>115</v>
      </c>
      <c r="G2623" t="s">
        <v>66</v>
      </c>
      <c r="H2623">
        <v>0</v>
      </c>
      <c r="I2623">
        <v>0</v>
      </c>
      <c r="J2623">
        <v>0</v>
      </c>
      <c r="K2623">
        <v>0</v>
      </c>
      <c r="L2623">
        <v>0</v>
      </c>
    </row>
    <row r="2624" spans="1:12" x14ac:dyDescent="0.25">
      <c r="A2624" t="str">
        <f t="shared" si="40"/>
        <v>2002222924072026M05</v>
      </c>
      <c r="B2624">
        <v>51321001</v>
      </c>
      <c r="C2624">
        <v>29</v>
      </c>
      <c r="D2624">
        <v>200222</v>
      </c>
      <c r="E2624">
        <v>292407</v>
      </c>
      <c r="F2624" t="s">
        <v>115</v>
      </c>
      <c r="G2624" t="s">
        <v>67</v>
      </c>
      <c r="H2624">
        <v>0</v>
      </c>
      <c r="I2624">
        <v>0</v>
      </c>
      <c r="J2624">
        <v>0</v>
      </c>
      <c r="K2624">
        <v>0</v>
      </c>
      <c r="L2624">
        <v>0</v>
      </c>
    </row>
    <row r="2625" spans="1:12" x14ac:dyDescent="0.25">
      <c r="A2625" t="str">
        <f t="shared" si="40"/>
        <v>2002222924072026M06</v>
      </c>
      <c r="B2625">
        <v>51321001</v>
      </c>
      <c r="C2625">
        <v>29</v>
      </c>
      <c r="D2625">
        <v>200222</v>
      </c>
      <c r="E2625">
        <v>292407</v>
      </c>
      <c r="F2625" t="s">
        <v>115</v>
      </c>
      <c r="G2625" t="s">
        <v>68</v>
      </c>
      <c r="H2625">
        <v>0</v>
      </c>
      <c r="I2625">
        <v>0</v>
      </c>
      <c r="J2625">
        <v>0</v>
      </c>
      <c r="K2625">
        <v>0</v>
      </c>
      <c r="L2625">
        <v>0</v>
      </c>
    </row>
    <row r="2626" spans="1:12" x14ac:dyDescent="0.25">
      <c r="A2626" t="str">
        <f t="shared" si="40"/>
        <v>2002222924072026M07</v>
      </c>
      <c r="B2626">
        <v>51321001</v>
      </c>
      <c r="C2626">
        <v>29</v>
      </c>
      <c r="D2626">
        <v>200222</v>
      </c>
      <c r="E2626">
        <v>292407</v>
      </c>
      <c r="F2626" t="s">
        <v>115</v>
      </c>
      <c r="G2626" t="s">
        <v>69</v>
      </c>
      <c r="H2626">
        <v>0</v>
      </c>
      <c r="I2626">
        <v>0</v>
      </c>
      <c r="J2626">
        <v>0</v>
      </c>
      <c r="K2626">
        <v>0</v>
      </c>
      <c r="L2626">
        <v>0</v>
      </c>
    </row>
    <row r="2627" spans="1:12" x14ac:dyDescent="0.25">
      <c r="A2627" t="str">
        <f t="shared" si="40"/>
        <v>2002222924072026M08</v>
      </c>
      <c r="B2627">
        <v>51321001</v>
      </c>
      <c r="C2627">
        <v>29</v>
      </c>
      <c r="D2627">
        <v>200222</v>
      </c>
      <c r="E2627">
        <v>292407</v>
      </c>
      <c r="F2627" t="s">
        <v>115</v>
      </c>
      <c r="G2627" t="s">
        <v>70</v>
      </c>
      <c r="H2627">
        <v>0</v>
      </c>
      <c r="I2627">
        <v>0</v>
      </c>
      <c r="J2627">
        <v>0</v>
      </c>
      <c r="K2627">
        <v>0</v>
      </c>
      <c r="L2627">
        <v>0</v>
      </c>
    </row>
    <row r="2628" spans="1:12" x14ac:dyDescent="0.25">
      <c r="A2628" t="str">
        <f t="shared" si="40"/>
        <v>2002222924072026M09</v>
      </c>
      <c r="B2628">
        <v>51321001</v>
      </c>
      <c r="C2628">
        <v>29</v>
      </c>
      <c r="D2628">
        <v>200222</v>
      </c>
      <c r="E2628">
        <v>292407</v>
      </c>
      <c r="F2628" t="s">
        <v>115</v>
      </c>
      <c r="G2628" t="s">
        <v>71</v>
      </c>
      <c r="H2628">
        <v>0</v>
      </c>
      <c r="I2628">
        <v>0</v>
      </c>
      <c r="J2628">
        <v>0</v>
      </c>
      <c r="K2628">
        <v>0</v>
      </c>
      <c r="L2628">
        <v>0</v>
      </c>
    </row>
    <row r="2629" spans="1:12" x14ac:dyDescent="0.25">
      <c r="A2629" t="str">
        <f t="shared" si="40"/>
        <v>2002222924072026M10</v>
      </c>
      <c r="B2629">
        <v>51321001</v>
      </c>
      <c r="C2629">
        <v>29</v>
      </c>
      <c r="D2629">
        <v>200222</v>
      </c>
      <c r="E2629">
        <v>292407</v>
      </c>
      <c r="F2629" t="s">
        <v>115</v>
      </c>
      <c r="G2629" t="s">
        <v>72</v>
      </c>
      <c r="H2629">
        <v>0</v>
      </c>
      <c r="I2629">
        <v>0</v>
      </c>
      <c r="J2629">
        <v>0</v>
      </c>
      <c r="K2629">
        <v>0</v>
      </c>
      <c r="L2629">
        <v>0</v>
      </c>
    </row>
    <row r="2630" spans="1:12" x14ac:dyDescent="0.25">
      <c r="A2630" t="str">
        <f t="shared" si="40"/>
        <v>2002222924072026M11</v>
      </c>
      <c r="B2630">
        <v>51321001</v>
      </c>
      <c r="C2630">
        <v>29</v>
      </c>
      <c r="D2630">
        <v>200222</v>
      </c>
      <c r="E2630">
        <v>292407</v>
      </c>
      <c r="F2630" t="s">
        <v>115</v>
      </c>
      <c r="G2630" t="s">
        <v>73</v>
      </c>
      <c r="H2630">
        <v>0</v>
      </c>
      <c r="I2630">
        <v>0</v>
      </c>
      <c r="J2630">
        <v>0</v>
      </c>
      <c r="K2630">
        <v>0</v>
      </c>
      <c r="L2630">
        <v>0</v>
      </c>
    </row>
    <row r="2631" spans="1:12" x14ac:dyDescent="0.25">
      <c r="A2631" t="str">
        <f t="shared" si="40"/>
        <v>2002222924072026M12</v>
      </c>
      <c r="B2631">
        <v>51321001</v>
      </c>
      <c r="C2631">
        <v>29</v>
      </c>
      <c r="D2631">
        <v>200222</v>
      </c>
      <c r="E2631">
        <v>292407</v>
      </c>
      <c r="F2631" t="s">
        <v>115</v>
      </c>
      <c r="G2631" t="s">
        <v>74</v>
      </c>
      <c r="H2631">
        <v>0</v>
      </c>
      <c r="I2631">
        <v>0</v>
      </c>
      <c r="J2631">
        <v>0</v>
      </c>
      <c r="K2631">
        <v>0</v>
      </c>
      <c r="L2631">
        <v>0</v>
      </c>
    </row>
    <row r="2632" spans="1:12" x14ac:dyDescent="0.25">
      <c r="A2632" t="str">
        <f t="shared" si="40"/>
        <v>2002222924102026M02</v>
      </c>
      <c r="B2632">
        <v>51321001</v>
      </c>
      <c r="C2632">
        <v>29</v>
      </c>
      <c r="D2632">
        <v>200222</v>
      </c>
      <c r="E2632">
        <v>292410</v>
      </c>
      <c r="F2632" t="s">
        <v>115</v>
      </c>
      <c r="G2632" t="s">
        <v>64</v>
      </c>
      <c r="H2632">
        <v>0</v>
      </c>
      <c r="I2632">
        <v>0</v>
      </c>
      <c r="J2632">
        <v>0</v>
      </c>
      <c r="K2632">
        <v>0</v>
      </c>
      <c r="L2632">
        <v>0</v>
      </c>
    </row>
    <row r="2633" spans="1:12" x14ac:dyDescent="0.25">
      <c r="A2633" t="str">
        <f t="shared" si="40"/>
        <v>2002222924102026M03</v>
      </c>
      <c r="B2633">
        <v>51321001</v>
      </c>
      <c r="C2633">
        <v>29</v>
      </c>
      <c r="D2633">
        <v>200222</v>
      </c>
      <c r="E2633">
        <v>292410</v>
      </c>
      <c r="F2633" t="s">
        <v>115</v>
      </c>
      <c r="G2633" t="s">
        <v>65</v>
      </c>
      <c r="H2633">
        <v>0</v>
      </c>
      <c r="I2633">
        <v>0</v>
      </c>
      <c r="J2633">
        <v>0</v>
      </c>
      <c r="K2633">
        <v>0</v>
      </c>
      <c r="L2633">
        <v>0</v>
      </c>
    </row>
    <row r="2634" spans="1:12" x14ac:dyDescent="0.25">
      <c r="A2634" t="str">
        <f t="shared" si="40"/>
        <v>2002222924102026M04</v>
      </c>
      <c r="B2634">
        <v>51321001</v>
      </c>
      <c r="C2634">
        <v>29</v>
      </c>
      <c r="D2634">
        <v>200222</v>
      </c>
      <c r="E2634">
        <v>292410</v>
      </c>
      <c r="F2634" t="s">
        <v>115</v>
      </c>
      <c r="G2634" t="s">
        <v>66</v>
      </c>
      <c r="H2634">
        <v>0</v>
      </c>
      <c r="I2634">
        <v>0</v>
      </c>
      <c r="J2634">
        <v>0</v>
      </c>
      <c r="K2634">
        <v>0</v>
      </c>
      <c r="L2634">
        <v>0</v>
      </c>
    </row>
    <row r="2635" spans="1:12" x14ac:dyDescent="0.25">
      <c r="A2635" t="str">
        <f t="shared" ref="A2635:A2698" si="41">D2635&amp;E2635&amp;G2635</f>
        <v>2002222924102026M05</v>
      </c>
      <c r="B2635">
        <v>51321001</v>
      </c>
      <c r="C2635">
        <v>29</v>
      </c>
      <c r="D2635">
        <v>200222</v>
      </c>
      <c r="E2635">
        <v>292410</v>
      </c>
      <c r="F2635" t="s">
        <v>115</v>
      </c>
      <c r="G2635" t="s">
        <v>67</v>
      </c>
      <c r="H2635">
        <v>0</v>
      </c>
      <c r="I2635">
        <v>0</v>
      </c>
      <c r="J2635">
        <v>0</v>
      </c>
      <c r="K2635">
        <v>0</v>
      </c>
      <c r="L2635">
        <v>0</v>
      </c>
    </row>
    <row r="2636" spans="1:12" x14ac:dyDescent="0.25">
      <c r="A2636" t="str">
        <f t="shared" si="41"/>
        <v>2002222924102026M06</v>
      </c>
      <c r="B2636">
        <v>51321001</v>
      </c>
      <c r="C2636">
        <v>29</v>
      </c>
      <c r="D2636">
        <v>200222</v>
      </c>
      <c r="E2636">
        <v>292410</v>
      </c>
      <c r="F2636" t="s">
        <v>115</v>
      </c>
      <c r="G2636" t="s">
        <v>68</v>
      </c>
      <c r="H2636">
        <v>0</v>
      </c>
      <c r="I2636">
        <v>0</v>
      </c>
      <c r="J2636">
        <v>0</v>
      </c>
      <c r="K2636">
        <v>0</v>
      </c>
      <c r="L2636">
        <v>0</v>
      </c>
    </row>
    <row r="2637" spans="1:12" x14ac:dyDescent="0.25">
      <c r="A2637" t="str">
        <f t="shared" si="41"/>
        <v>2002222924102026M07</v>
      </c>
      <c r="B2637">
        <v>51321001</v>
      </c>
      <c r="C2637">
        <v>29</v>
      </c>
      <c r="D2637">
        <v>200222</v>
      </c>
      <c r="E2637">
        <v>292410</v>
      </c>
      <c r="F2637" t="s">
        <v>115</v>
      </c>
      <c r="G2637" t="s">
        <v>69</v>
      </c>
      <c r="H2637">
        <v>63092.34</v>
      </c>
      <c r="I2637">
        <v>63092.34</v>
      </c>
      <c r="J2637">
        <v>0</v>
      </c>
      <c r="K2637">
        <v>0</v>
      </c>
      <c r="L2637">
        <v>0</v>
      </c>
    </row>
    <row r="2638" spans="1:12" x14ac:dyDescent="0.25">
      <c r="A2638" t="str">
        <f t="shared" si="41"/>
        <v>2002222924102026M08</v>
      </c>
      <c r="B2638">
        <v>51321001</v>
      </c>
      <c r="C2638">
        <v>29</v>
      </c>
      <c r="D2638">
        <v>200222</v>
      </c>
      <c r="E2638">
        <v>292410</v>
      </c>
      <c r="F2638" t="s">
        <v>115</v>
      </c>
      <c r="G2638" t="s">
        <v>70</v>
      </c>
      <c r="H2638">
        <v>0</v>
      </c>
      <c r="I2638">
        <v>0</v>
      </c>
      <c r="J2638">
        <v>0</v>
      </c>
      <c r="K2638">
        <v>0</v>
      </c>
      <c r="L2638">
        <v>0</v>
      </c>
    </row>
    <row r="2639" spans="1:12" x14ac:dyDescent="0.25">
      <c r="A2639" t="str">
        <f t="shared" si="41"/>
        <v>2002222924102026M09</v>
      </c>
      <c r="B2639">
        <v>51321001</v>
      </c>
      <c r="C2639">
        <v>29</v>
      </c>
      <c r="D2639">
        <v>200222</v>
      </c>
      <c r="E2639">
        <v>292410</v>
      </c>
      <c r="F2639" t="s">
        <v>115</v>
      </c>
      <c r="G2639" t="s">
        <v>71</v>
      </c>
      <c r="H2639">
        <v>21030.78</v>
      </c>
      <c r="I2639">
        <v>21030.78</v>
      </c>
      <c r="J2639">
        <v>0</v>
      </c>
      <c r="K2639">
        <v>0</v>
      </c>
      <c r="L2639">
        <v>0</v>
      </c>
    </row>
    <row r="2640" spans="1:12" x14ac:dyDescent="0.25">
      <c r="A2640" t="str">
        <f t="shared" si="41"/>
        <v>2002222924102026M10</v>
      </c>
      <c r="B2640">
        <v>51321001</v>
      </c>
      <c r="C2640">
        <v>29</v>
      </c>
      <c r="D2640">
        <v>200222</v>
      </c>
      <c r="E2640">
        <v>292410</v>
      </c>
      <c r="F2640" t="s">
        <v>115</v>
      </c>
      <c r="G2640" t="s">
        <v>72</v>
      </c>
      <c r="H2640">
        <v>10515.48</v>
      </c>
      <c r="I2640">
        <v>0</v>
      </c>
      <c r="J2640">
        <v>10515.48</v>
      </c>
      <c r="K2640">
        <v>0</v>
      </c>
      <c r="L2640">
        <v>0</v>
      </c>
    </row>
    <row r="2641" spans="1:12" x14ac:dyDescent="0.25">
      <c r="A2641" t="str">
        <f t="shared" si="41"/>
        <v>2002222924102026M11</v>
      </c>
      <c r="B2641">
        <v>51321001</v>
      </c>
      <c r="C2641">
        <v>29</v>
      </c>
      <c r="D2641">
        <v>200222</v>
      </c>
      <c r="E2641">
        <v>292410</v>
      </c>
      <c r="F2641" t="s">
        <v>115</v>
      </c>
      <c r="G2641" t="s">
        <v>73</v>
      </c>
      <c r="H2641">
        <v>10515.4</v>
      </c>
      <c r="I2641">
        <v>0</v>
      </c>
      <c r="J2641">
        <v>10515.4</v>
      </c>
      <c r="K2641">
        <v>0</v>
      </c>
      <c r="L2641">
        <v>0</v>
      </c>
    </row>
    <row r="2642" spans="1:12" x14ac:dyDescent="0.25">
      <c r="A2642" t="str">
        <f t="shared" si="41"/>
        <v>2002222924102026M12</v>
      </c>
      <c r="B2642">
        <v>51321001</v>
      </c>
      <c r="C2642">
        <v>29</v>
      </c>
      <c r="D2642">
        <v>200222</v>
      </c>
      <c r="E2642">
        <v>292410</v>
      </c>
      <c r="F2642" t="s">
        <v>115</v>
      </c>
      <c r="G2642" t="s">
        <v>74</v>
      </c>
      <c r="H2642">
        <v>21030.799999999999</v>
      </c>
      <c r="I2642">
        <v>0</v>
      </c>
      <c r="J2642">
        <v>21030.799999999999</v>
      </c>
      <c r="K2642">
        <v>0</v>
      </c>
      <c r="L2642">
        <v>0</v>
      </c>
    </row>
    <row r="2643" spans="1:12" x14ac:dyDescent="0.25">
      <c r="A2643" t="str">
        <f t="shared" si="41"/>
        <v>2002222924172026M02</v>
      </c>
      <c r="B2643">
        <v>51321001</v>
      </c>
      <c r="C2643">
        <v>29</v>
      </c>
      <c r="D2643">
        <v>200222</v>
      </c>
      <c r="E2643">
        <v>292417</v>
      </c>
      <c r="F2643" t="s">
        <v>115</v>
      </c>
      <c r="G2643" t="s">
        <v>64</v>
      </c>
      <c r="H2643">
        <v>0</v>
      </c>
      <c r="I2643">
        <v>0</v>
      </c>
      <c r="J2643">
        <v>0</v>
      </c>
      <c r="K2643">
        <v>0</v>
      </c>
      <c r="L2643">
        <v>0</v>
      </c>
    </row>
    <row r="2644" spans="1:12" x14ac:dyDescent="0.25">
      <c r="A2644" t="str">
        <f t="shared" si="41"/>
        <v>2002222924172026M03</v>
      </c>
      <c r="B2644">
        <v>51321001</v>
      </c>
      <c r="C2644">
        <v>29</v>
      </c>
      <c r="D2644">
        <v>200222</v>
      </c>
      <c r="E2644">
        <v>292417</v>
      </c>
      <c r="F2644" t="s">
        <v>115</v>
      </c>
      <c r="G2644" t="s">
        <v>65</v>
      </c>
      <c r="H2644">
        <v>0</v>
      </c>
      <c r="I2644">
        <v>0</v>
      </c>
      <c r="J2644">
        <v>0</v>
      </c>
      <c r="K2644">
        <v>0</v>
      </c>
      <c r="L2644">
        <v>0</v>
      </c>
    </row>
    <row r="2645" spans="1:12" x14ac:dyDescent="0.25">
      <c r="A2645" t="str">
        <f t="shared" si="41"/>
        <v>2002222924172026M04</v>
      </c>
      <c r="B2645">
        <v>51321001</v>
      </c>
      <c r="C2645">
        <v>29</v>
      </c>
      <c r="D2645">
        <v>200222</v>
      </c>
      <c r="E2645">
        <v>292417</v>
      </c>
      <c r="F2645" t="s">
        <v>115</v>
      </c>
      <c r="G2645" t="s">
        <v>66</v>
      </c>
      <c r="H2645">
        <v>0</v>
      </c>
      <c r="I2645">
        <v>0</v>
      </c>
      <c r="J2645">
        <v>0</v>
      </c>
      <c r="K2645">
        <v>0</v>
      </c>
      <c r="L2645">
        <v>0</v>
      </c>
    </row>
    <row r="2646" spans="1:12" x14ac:dyDescent="0.25">
      <c r="A2646" t="str">
        <f t="shared" si="41"/>
        <v>2002222924172026M05</v>
      </c>
      <c r="B2646">
        <v>51321001</v>
      </c>
      <c r="C2646">
        <v>29</v>
      </c>
      <c r="D2646">
        <v>200222</v>
      </c>
      <c r="E2646">
        <v>292417</v>
      </c>
      <c r="F2646" t="s">
        <v>115</v>
      </c>
      <c r="G2646" t="s">
        <v>67</v>
      </c>
      <c r="H2646">
        <v>0</v>
      </c>
      <c r="I2646">
        <v>0</v>
      </c>
      <c r="J2646">
        <v>0</v>
      </c>
      <c r="K2646">
        <v>0</v>
      </c>
      <c r="L2646">
        <v>0</v>
      </c>
    </row>
    <row r="2647" spans="1:12" x14ac:dyDescent="0.25">
      <c r="A2647" t="str">
        <f t="shared" si="41"/>
        <v>2002222924172026M06</v>
      </c>
      <c r="B2647">
        <v>51321001</v>
      </c>
      <c r="C2647">
        <v>29</v>
      </c>
      <c r="D2647">
        <v>200222</v>
      </c>
      <c r="E2647">
        <v>292417</v>
      </c>
      <c r="F2647" t="s">
        <v>115</v>
      </c>
      <c r="G2647" t="s">
        <v>68</v>
      </c>
      <c r="H2647">
        <v>0</v>
      </c>
      <c r="I2647">
        <v>0</v>
      </c>
      <c r="J2647">
        <v>0</v>
      </c>
      <c r="K2647">
        <v>0</v>
      </c>
      <c r="L2647">
        <v>0</v>
      </c>
    </row>
    <row r="2648" spans="1:12" x14ac:dyDescent="0.25">
      <c r="A2648" t="str">
        <f t="shared" si="41"/>
        <v>2002222924172026M07</v>
      </c>
      <c r="B2648">
        <v>51321001</v>
      </c>
      <c r="C2648">
        <v>29</v>
      </c>
      <c r="D2648">
        <v>200222</v>
      </c>
      <c r="E2648">
        <v>292417</v>
      </c>
      <c r="F2648" t="s">
        <v>115</v>
      </c>
      <c r="G2648" t="s">
        <v>69</v>
      </c>
      <c r="H2648">
        <v>0</v>
      </c>
      <c r="I2648">
        <v>0</v>
      </c>
      <c r="J2648">
        <v>0</v>
      </c>
      <c r="K2648">
        <v>0</v>
      </c>
      <c r="L2648">
        <v>0</v>
      </c>
    </row>
    <row r="2649" spans="1:12" x14ac:dyDescent="0.25">
      <c r="A2649" t="str">
        <f t="shared" si="41"/>
        <v>2002222924172026M08</v>
      </c>
      <c r="B2649">
        <v>51321001</v>
      </c>
      <c r="C2649">
        <v>29</v>
      </c>
      <c r="D2649">
        <v>200222</v>
      </c>
      <c r="E2649">
        <v>292417</v>
      </c>
      <c r="F2649" t="s">
        <v>115</v>
      </c>
      <c r="G2649" t="s">
        <v>70</v>
      </c>
      <c r="H2649">
        <v>0</v>
      </c>
      <c r="I2649">
        <v>0</v>
      </c>
      <c r="J2649">
        <v>0</v>
      </c>
      <c r="K2649">
        <v>0</v>
      </c>
      <c r="L2649">
        <v>0</v>
      </c>
    </row>
    <row r="2650" spans="1:12" x14ac:dyDescent="0.25">
      <c r="A2650" t="str">
        <f t="shared" si="41"/>
        <v>2002222924172026M09</v>
      </c>
      <c r="B2650">
        <v>51321001</v>
      </c>
      <c r="C2650">
        <v>29</v>
      </c>
      <c r="D2650">
        <v>200222</v>
      </c>
      <c r="E2650">
        <v>292417</v>
      </c>
      <c r="F2650" t="s">
        <v>115</v>
      </c>
      <c r="G2650" t="s">
        <v>71</v>
      </c>
      <c r="H2650">
        <v>0</v>
      </c>
      <c r="I2650">
        <v>0</v>
      </c>
      <c r="J2650">
        <v>0</v>
      </c>
      <c r="K2650">
        <v>0</v>
      </c>
      <c r="L2650">
        <v>0</v>
      </c>
    </row>
    <row r="2651" spans="1:12" x14ac:dyDescent="0.25">
      <c r="A2651" t="str">
        <f t="shared" si="41"/>
        <v>2002222924172026M10</v>
      </c>
      <c r="B2651">
        <v>51321001</v>
      </c>
      <c r="C2651">
        <v>29</v>
      </c>
      <c r="D2651">
        <v>200222</v>
      </c>
      <c r="E2651">
        <v>292417</v>
      </c>
      <c r="F2651" t="s">
        <v>115</v>
      </c>
      <c r="G2651" t="s">
        <v>72</v>
      </c>
      <c r="H2651">
        <v>49500</v>
      </c>
      <c r="I2651">
        <v>0</v>
      </c>
      <c r="J2651">
        <v>49500</v>
      </c>
      <c r="K2651">
        <v>0</v>
      </c>
      <c r="L2651">
        <v>0</v>
      </c>
    </row>
    <row r="2652" spans="1:12" x14ac:dyDescent="0.25">
      <c r="A2652" t="str">
        <f t="shared" si="41"/>
        <v>2002222924172026M11</v>
      </c>
      <c r="B2652">
        <v>51321001</v>
      </c>
      <c r="C2652">
        <v>29</v>
      </c>
      <c r="D2652">
        <v>200222</v>
      </c>
      <c r="E2652">
        <v>292417</v>
      </c>
      <c r="F2652" t="s">
        <v>115</v>
      </c>
      <c r="G2652" t="s">
        <v>73</v>
      </c>
      <c r="H2652">
        <v>5500</v>
      </c>
      <c r="I2652">
        <v>0</v>
      </c>
      <c r="J2652">
        <v>5500</v>
      </c>
      <c r="K2652">
        <v>0</v>
      </c>
      <c r="L2652">
        <v>0</v>
      </c>
    </row>
    <row r="2653" spans="1:12" x14ac:dyDescent="0.25">
      <c r="A2653" t="str">
        <f t="shared" si="41"/>
        <v>2002222924172026M12</v>
      </c>
      <c r="B2653">
        <v>51321001</v>
      </c>
      <c r="C2653">
        <v>29</v>
      </c>
      <c r="D2653">
        <v>200222</v>
      </c>
      <c r="E2653">
        <v>292417</v>
      </c>
      <c r="F2653" t="s">
        <v>115</v>
      </c>
      <c r="G2653" t="s">
        <v>74</v>
      </c>
      <c r="H2653">
        <v>10991.24</v>
      </c>
      <c r="I2653">
        <v>0</v>
      </c>
      <c r="J2653">
        <v>10991.24</v>
      </c>
      <c r="K2653">
        <v>0</v>
      </c>
      <c r="L2653">
        <v>0</v>
      </c>
    </row>
    <row r="2654" spans="1:12" x14ac:dyDescent="0.25">
      <c r="A2654" t="str">
        <f t="shared" si="41"/>
        <v>2002222924192026M02</v>
      </c>
      <c r="B2654">
        <v>51321001</v>
      </c>
      <c r="C2654">
        <v>29</v>
      </c>
      <c r="D2654">
        <v>200222</v>
      </c>
      <c r="E2654">
        <v>292419</v>
      </c>
      <c r="F2654" t="s">
        <v>115</v>
      </c>
      <c r="G2654" t="s">
        <v>64</v>
      </c>
      <c r="H2654">
        <v>0</v>
      </c>
      <c r="I2654">
        <v>0</v>
      </c>
      <c r="J2654">
        <v>0</v>
      </c>
      <c r="K2654">
        <v>0</v>
      </c>
      <c r="L2654">
        <v>0</v>
      </c>
    </row>
    <row r="2655" spans="1:12" x14ac:dyDescent="0.25">
      <c r="A2655" t="str">
        <f t="shared" si="41"/>
        <v>2002222924192026M03</v>
      </c>
      <c r="B2655">
        <v>51321001</v>
      </c>
      <c r="C2655">
        <v>29</v>
      </c>
      <c r="D2655">
        <v>200222</v>
      </c>
      <c r="E2655">
        <v>292419</v>
      </c>
      <c r="F2655" t="s">
        <v>115</v>
      </c>
      <c r="G2655" t="s">
        <v>65</v>
      </c>
      <c r="H2655">
        <v>0</v>
      </c>
      <c r="I2655">
        <v>0</v>
      </c>
      <c r="J2655">
        <v>0</v>
      </c>
      <c r="K2655">
        <v>0</v>
      </c>
      <c r="L2655">
        <v>0</v>
      </c>
    </row>
    <row r="2656" spans="1:12" x14ac:dyDescent="0.25">
      <c r="A2656" t="str">
        <f t="shared" si="41"/>
        <v>2002222924192026M04</v>
      </c>
      <c r="B2656">
        <v>51321001</v>
      </c>
      <c r="C2656">
        <v>29</v>
      </c>
      <c r="D2656">
        <v>200222</v>
      </c>
      <c r="E2656">
        <v>292419</v>
      </c>
      <c r="F2656" t="s">
        <v>115</v>
      </c>
      <c r="G2656" t="s">
        <v>66</v>
      </c>
      <c r="H2656">
        <v>0</v>
      </c>
      <c r="I2656">
        <v>0</v>
      </c>
      <c r="J2656">
        <v>0</v>
      </c>
      <c r="K2656">
        <v>0</v>
      </c>
      <c r="L2656">
        <v>0</v>
      </c>
    </row>
    <row r="2657" spans="1:12" x14ac:dyDescent="0.25">
      <c r="A2657" t="str">
        <f t="shared" si="41"/>
        <v>2002222924192026M05</v>
      </c>
      <c r="B2657">
        <v>51321001</v>
      </c>
      <c r="C2657">
        <v>29</v>
      </c>
      <c r="D2657">
        <v>200222</v>
      </c>
      <c r="E2657">
        <v>292419</v>
      </c>
      <c r="F2657" t="s">
        <v>115</v>
      </c>
      <c r="G2657" t="s">
        <v>67</v>
      </c>
      <c r="H2657">
        <v>0</v>
      </c>
      <c r="I2657">
        <v>0</v>
      </c>
      <c r="J2657">
        <v>0</v>
      </c>
      <c r="K2657">
        <v>0</v>
      </c>
      <c r="L2657">
        <v>0</v>
      </c>
    </row>
    <row r="2658" spans="1:12" x14ac:dyDescent="0.25">
      <c r="A2658" t="str">
        <f t="shared" si="41"/>
        <v>2002222924192026M06</v>
      </c>
      <c r="B2658">
        <v>51321001</v>
      </c>
      <c r="C2658">
        <v>29</v>
      </c>
      <c r="D2658">
        <v>200222</v>
      </c>
      <c r="E2658">
        <v>292419</v>
      </c>
      <c r="F2658" t="s">
        <v>115</v>
      </c>
      <c r="G2658" t="s">
        <v>68</v>
      </c>
      <c r="H2658">
        <v>0</v>
      </c>
      <c r="I2658">
        <v>0</v>
      </c>
      <c r="J2658">
        <v>0</v>
      </c>
      <c r="K2658">
        <v>0</v>
      </c>
      <c r="L2658">
        <v>0</v>
      </c>
    </row>
    <row r="2659" spans="1:12" x14ac:dyDescent="0.25">
      <c r="A2659" t="str">
        <f t="shared" si="41"/>
        <v>2002222924192026M07</v>
      </c>
      <c r="B2659">
        <v>51321001</v>
      </c>
      <c r="C2659">
        <v>29</v>
      </c>
      <c r="D2659">
        <v>200222</v>
      </c>
      <c r="E2659">
        <v>292419</v>
      </c>
      <c r="F2659" t="s">
        <v>115</v>
      </c>
      <c r="G2659" t="s">
        <v>69</v>
      </c>
      <c r="H2659">
        <v>0</v>
      </c>
      <c r="I2659">
        <v>0</v>
      </c>
      <c r="J2659">
        <v>0</v>
      </c>
      <c r="K2659">
        <v>0</v>
      </c>
      <c r="L2659">
        <v>0</v>
      </c>
    </row>
    <row r="2660" spans="1:12" x14ac:dyDescent="0.25">
      <c r="A2660" t="str">
        <f t="shared" si="41"/>
        <v>2002222924192026M08</v>
      </c>
      <c r="B2660">
        <v>51321001</v>
      </c>
      <c r="C2660">
        <v>29</v>
      </c>
      <c r="D2660">
        <v>200222</v>
      </c>
      <c r="E2660">
        <v>292419</v>
      </c>
      <c r="F2660" t="s">
        <v>115</v>
      </c>
      <c r="G2660" t="s">
        <v>70</v>
      </c>
      <c r="H2660">
        <v>0</v>
      </c>
      <c r="I2660">
        <v>0</v>
      </c>
      <c r="J2660">
        <v>0</v>
      </c>
      <c r="K2660">
        <v>0</v>
      </c>
      <c r="L2660">
        <v>0</v>
      </c>
    </row>
    <row r="2661" spans="1:12" x14ac:dyDescent="0.25">
      <c r="A2661" t="str">
        <f t="shared" si="41"/>
        <v>2002222924192026M09</v>
      </c>
      <c r="B2661">
        <v>51321001</v>
      </c>
      <c r="C2661">
        <v>29</v>
      </c>
      <c r="D2661">
        <v>200222</v>
      </c>
      <c r="E2661">
        <v>292419</v>
      </c>
      <c r="F2661" t="s">
        <v>115</v>
      </c>
      <c r="G2661" t="s">
        <v>71</v>
      </c>
      <c r="H2661">
        <v>0</v>
      </c>
      <c r="I2661">
        <v>0</v>
      </c>
      <c r="J2661">
        <v>0</v>
      </c>
      <c r="K2661">
        <v>0</v>
      </c>
      <c r="L2661">
        <v>0</v>
      </c>
    </row>
    <row r="2662" spans="1:12" x14ac:dyDescent="0.25">
      <c r="A2662" t="str">
        <f t="shared" si="41"/>
        <v>2002222924192026M10</v>
      </c>
      <c r="B2662">
        <v>51321001</v>
      </c>
      <c r="C2662">
        <v>29</v>
      </c>
      <c r="D2662">
        <v>200222</v>
      </c>
      <c r="E2662">
        <v>292419</v>
      </c>
      <c r="F2662" t="s">
        <v>115</v>
      </c>
      <c r="G2662" t="s">
        <v>72</v>
      </c>
      <c r="H2662">
        <v>0</v>
      </c>
      <c r="I2662">
        <v>0</v>
      </c>
      <c r="J2662">
        <v>0</v>
      </c>
      <c r="K2662">
        <v>0</v>
      </c>
      <c r="L2662">
        <v>0</v>
      </c>
    </row>
    <row r="2663" spans="1:12" x14ac:dyDescent="0.25">
      <c r="A2663" t="str">
        <f t="shared" si="41"/>
        <v>2002222924192026M11</v>
      </c>
      <c r="B2663">
        <v>51321001</v>
      </c>
      <c r="C2663">
        <v>29</v>
      </c>
      <c r="D2663">
        <v>200222</v>
      </c>
      <c r="E2663">
        <v>292419</v>
      </c>
      <c r="F2663" t="s">
        <v>115</v>
      </c>
      <c r="G2663" t="s">
        <v>73</v>
      </c>
      <c r="H2663">
        <v>0</v>
      </c>
      <c r="I2663">
        <v>0</v>
      </c>
      <c r="J2663">
        <v>0</v>
      </c>
      <c r="K2663">
        <v>0</v>
      </c>
      <c r="L2663">
        <v>0</v>
      </c>
    </row>
    <row r="2664" spans="1:12" x14ac:dyDescent="0.25">
      <c r="A2664" t="str">
        <f t="shared" si="41"/>
        <v>2002222924192026M12</v>
      </c>
      <c r="B2664">
        <v>51321001</v>
      </c>
      <c r="C2664">
        <v>29</v>
      </c>
      <c r="D2664">
        <v>200222</v>
      </c>
      <c r="E2664">
        <v>292419</v>
      </c>
      <c r="F2664" t="s">
        <v>115</v>
      </c>
      <c r="G2664" t="s">
        <v>74</v>
      </c>
      <c r="H2664">
        <v>0</v>
      </c>
      <c r="I2664">
        <v>0</v>
      </c>
      <c r="J2664">
        <v>0</v>
      </c>
      <c r="K2664">
        <v>0</v>
      </c>
      <c r="L2664">
        <v>0</v>
      </c>
    </row>
    <row r="2665" spans="1:12" x14ac:dyDescent="0.25">
      <c r="A2665" t="str">
        <f t="shared" si="41"/>
        <v>2002222924302026M02</v>
      </c>
      <c r="B2665">
        <v>51321001</v>
      </c>
      <c r="C2665">
        <v>29</v>
      </c>
      <c r="D2665">
        <v>200222</v>
      </c>
      <c r="E2665">
        <v>292430</v>
      </c>
      <c r="F2665" t="s">
        <v>115</v>
      </c>
      <c r="G2665" t="s">
        <v>64</v>
      </c>
      <c r="H2665">
        <v>0</v>
      </c>
      <c r="I2665">
        <v>0</v>
      </c>
      <c r="J2665">
        <v>0</v>
      </c>
      <c r="K2665">
        <v>0</v>
      </c>
      <c r="L2665">
        <v>0</v>
      </c>
    </row>
    <row r="2666" spans="1:12" x14ac:dyDescent="0.25">
      <c r="A2666" t="str">
        <f t="shared" si="41"/>
        <v>2002222924302026M03</v>
      </c>
      <c r="B2666">
        <v>51321001</v>
      </c>
      <c r="C2666">
        <v>29</v>
      </c>
      <c r="D2666">
        <v>200222</v>
      </c>
      <c r="E2666">
        <v>292430</v>
      </c>
      <c r="F2666" t="s">
        <v>115</v>
      </c>
      <c r="G2666" t="s">
        <v>65</v>
      </c>
      <c r="H2666">
        <v>0</v>
      </c>
      <c r="I2666">
        <v>0</v>
      </c>
      <c r="J2666">
        <v>0</v>
      </c>
      <c r="K2666">
        <v>0</v>
      </c>
      <c r="L2666">
        <v>0</v>
      </c>
    </row>
    <row r="2667" spans="1:12" x14ac:dyDescent="0.25">
      <c r="A2667" t="str">
        <f t="shared" si="41"/>
        <v>2002222924302026M04</v>
      </c>
      <c r="B2667">
        <v>51321001</v>
      </c>
      <c r="C2667">
        <v>29</v>
      </c>
      <c r="D2667">
        <v>200222</v>
      </c>
      <c r="E2667">
        <v>292430</v>
      </c>
      <c r="F2667" t="s">
        <v>115</v>
      </c>
      <c r="G2667" t="s">
        <v>66</v>
      </c>
      <c r="H2667">
        <v>0</v>
      </c>
      <c r="I2667">
        <v>0</v>
      </c>
      <c r="J2667">
        <v>0</v>
      </c>
      <c r="K2667">
        <v>0</v>
      </c>
      <c r="L2667">
        <v>0</v>
      </c>
    </row>
    <row r="2668" spans="1:12" x14ac:dyDescent="0.25">
      <c r="A2668" t="str">
        <f t="shared" si="41"/>
        <v>2002222924302026M05</v>
      </c>
      <c r="B2668">
        <v>51321001</v>
      </c>
      <c r="C2668">
        <v>29</v>
      </c>
      <c r="D2668">
        <v>200222</v>
      </c>
      <c r="E2668">
        <v>292430</v>
      </c>
      <c r="F2668" t="s">
        <v>115</v>
      </c>
      <c r="G2668" t="s">
        <v>67</v>
      </c>
      <c r="H2668">
        <v>0</v>
      </c>
      <c r="I2668">
        <v>0</v>
      </c>
      <c r="J2668">
        <v>0</v>
      </c>
      <c r="K2668">
        <v>0</v>
      </c>
      <c r="L2668">
        <v>0</v>
      </c>
    </row>
    <row r="2669" spans="1:12" x14ac:dyDescent="0.25">
      <c r="A2669" t="str">
        <f t="shared" si="41"/>
        <v>2002222924302026M06</v>
      </c>
      <c r="B2669">
        <v>51321001</v>
      </c>
      <c r="C2669">
        <v>29</v>
      </c>
      <c r="D2669">
        <v>200222</v>
      </c>
      <c r="E2669">
        <v>292430</v>
      </c>
      <c r="F2669" t="s">
        <v>115</v>
      </c>
      <c r="G2669" t="s">
        <v>68</v>
      </c>
      <c r="H2669">
        <v>0</v>
      </c>
      <c r="I2669">
        <v>0</v>
      </c>
      <c r="J2669">
        <v>0</v>
      </c>
      <c r="K2669">
        <v>0</v>
      </c>
      <c r="L2669">
        <v>0</v>
      </c>
    </row>
    <row r="2670" spans="1:12" x14ac:dyDescent="0.25">
      <c r="A2670" t="str">
        <f t="shared" si="41"/>
        <v>2002222924302026M07</v>
      </c>
      <c r="B2670">
        <v>51321001</v>
      </c>
      <c r="C2670">
        <v>29</v>
      </c>
      <c r="D2670">
        <v>200222</v>
      </c>
      <c r="E2670">
        <v>292430</v>
      </c>
      <c r="F2670" t="s">
        <v>115</v>
      </c>
      <c r="G2670" t="s">
        <v>69</v>
      </c>
      <c r="H2670">
        <v>0</v>
      </c>
      <c r="I2670">
        <v>0</v>
      </c>
      <c r="J2670">
        <v>0</v>
      </c>
      <c r="K2670">
        <v>0</v>
      </c>
      <c r="L2670">
        <v>0</v>
      </c>
    </row>
    <row r="2671" spans="1:12" x14ac:dyDescent="0.25">
      <c r="A2671" t="str">
        <f t="shared" si="41"/>
        <v>2002222924302026M08</v>
      </c>
      <c r="B2671">
        <v>51321001</v>
      </c>
      <c r="C2671">
        <v>29</v>
      </c>
      <c r="D2671">
        <v>200222</v>
      </c>
      <c r="E2671">
        <v>292430</v>
      </c>
      <c r="F2671" t="s">
        <v>115</v>
      </c>
      <c r="G2671" t="s">
        <v>70</v>
      </c>
      <c r="H2671">
        <v>0</v>
      </c>
      <c r="I2671">
        <v>0</v>
      </c>
      <c r="J2671">
        <v>0</v>
      </c>
      <c r="K2671">
        <v>0</v>
      </c>
      <c r="L2671">
        <v>0</v>
      </c>
    </row>
    <row r="2672" spans="1:12" x14ac:dyDescent="0.25">
      <c r="A2672" t="str">
        <f t="shared" si="41"/>
        <v>2002222924302026M09</v>
      </c>
      <c r="B2672">
        <v>51321001</v>
      </c>
      <c r="C2672">
        <v>29</v>
      </c>
      <c r="D2672">
        <v>200222</v>
      </c>
      <c r="E2672">
        <v>292430</v>
      </c>
      <c r="F2672" t="s">
        <v>115</v>
      </c>
      <c r="G2672" t="s">
        <v>71</v>
      </c>
      <c r="H2672">
        <v>0</v>
      </c>
      <c r="I2672">
        <v>0</v>
      </c>
      <c r="J2672">
        <v>0</v>
      </c>
      <c r="K2672">
        <v>0</v>
      </c>
      <c r="L2672">
        <v>0</v>
      </c>
    </row>
    <row r="2673" spans="1:12" x14ac:dyDescent="0.25">
      <c r="A2673" t="str">
        <f t="shared" si="41"/>
        <v>2002222924302026M10</v>
      </c>
      <c r="B2673">
        <v>51321001</v>
      </c>
      <c r="C2673">
        <v>29</v>
      </c>
      <c r="D2673">
        <v>200222</v>
      </c>
      <c r="E2673">
        <v>292430</v>
      </c>
      <c r="F2673" t="s">
        <v>115</v>
      </c>
      <c r="G2673" t="s">
        <v>72</v>
      </c>
      <c r="H2673">
        <v>0</v>
      </c>
      <c r="I2673">
        <v>0</v>
      </c>
      <c r="J2673">
        <v>0</v>
      </c>
      <c r="K2673">
        <v>0</v>
      </c>
      <c r="L2673">
        <v>0</v>
      </c>
    </row>
    <row r="2674" spans="1:12" x14ac:dyDescent="0.25">
      <c r="A2674" t="str">
        <f t="shared" si="41"/>
        <v>2002222924302026M11</v>
      </c>
      <c r="B2674">
        <v>51321001</v>
      </c>
      <c r="C2674">
        <v>29</v>
      </c>
      <c r="D2674">
        <v>200222</v>
      </c>
      <c r="E2674">
        <v>292430</v>
      </c>
      <c r="F2674" t="s">
        <v>115</v>
      </c>
      <c r="G2674" t="s">
        <v>73</v>
      </c>
      <c r="H2674">
        <v>0</v>
      </c>
      <c r="I2674">
        <v>0</v>
      </c>
      <c r="J2674">
        <v>0</v>
      </c>
      <c r="K2674">
        <v>0</v>
      </c>
      <c r="L2674">
        <v>0</v>
      </c>
    </row>
    <row r="2675" spans="1:12" x14ac:dyDescent="0.25">
      <c r="A2675" t="str">
        <f t="shared" si="41"/>
        <v>2002222924302026M12</v>
      </c>
      <c r="B2675">
        <v>51321001</v>
      </c>
      <c r="C2675">
        <v>29</v>
      </c>
      <c r="D2675">
        <v>200222</v>
      </c>
      <c r="E2675">
        <v>292430</v>
      </c>
      <c r="F2675" t="s">
        <v>115</v>
      </c>
      <c r="G2675" t="s">
        <v>74</v>
      </c>
      <c r="H2675">
        <v>0</v>
      </c>
      <c r="I2675">
        <v>0</v>
      </c>
      <c r="J2675">
        <v>0</v>
      </c>
      <c r="K2675">
        <v>0</v>
      </c>
      <c r="L2675">
        <v>0</v>
      </c>
    </row>
    <row r="2676" spans="1:12" x14ac:dyDescent="0.25">
      <c r="A2676" t="str">
        <f t="shared" si="41"/>
        <v>2002222924342026M02</v>
      </c>
      <c r="B2676">
        <v>51321001</v>
      </c>
      <c r="C2676">
        <v>29</v>
      </c>
      <c r="D2676">
        <v>200222</v>
      </c>
      <c r="E2676">
        <v>292434</v>
      </c>
      <c r="F2676" t="s">
        <v>115</v>
      </c>
      <c r="G2676" t="s">
        <v>64</v>
      </c>
      <c r="H2676">
        <v>0</v>
      </c>
      <c r="I2676">
        <v>0</v>
      </c>
      <c r="J2676">
        <v>0</v>
      </c>
      <c r="K2676">
        <v>0</v>
      </c>
      <c r="L2676">
        <v>0</v>
      </c>
    </row>
    <row r="2677" spans="1:12" x14ac:dyDescent="0.25">
      <c r="A2677" t="str">
        <f t="shared" si="41"/>
        <v>2002222924342026M03</v>
      </c>
      <c r="B2677">
        <v>51321001</v>
      </c>
      <c r="C2677">
        <v>29</v>
      </c>
      <c r="D2677">
        <v>200222</v>
      </c>
      <c r="E2677">
        <v>292434</v>
      </c>
      <c r="F2677" t="s">
        <v>115</v>
      </c>
      <c r="G2677" t="s">
        <v>65</v>
      </c>
      <c r="H2677">
        <v>0</v>
      </c>
      <c r="I2677">
        <v>0</v>
      </c>
      <c r="J2677">
        <v>0</v>
      </c>
      <c r="K2677">
        <v>0</v>
      </c>
      <c r="L2677">
        <v>0</v>
      </c>
    </row>
    <row r="2678" spans="1:12" x14ac:dyDescent="0.25">
      <c r="A2678" t="str">
        <f t="shared" si="41"/>
        <v>2002222924342026M04</v>
      </c>
      <c r="B2678">
        <v>51321001</v>
      </c>
      <c r="C2678">
        <v>29</v>
      </c>
      <c r="D2678">
        <v>200222</v>
      </c>
      <c r="E2678">
        <v>292434</v>
      </c>
      <c r="F2678" t="s">
        <v>115</v>
      </c>
      <c r="G2678" t="s">
        <v>66</v>
      </c>
      <c r="H2678">
        <v>0</v>
      </c>
      <c r="I2678">
        <v>0</v>
      </c>
      <c r="J2678">
        <v>0</v>
      </c>
      <c r="K2678">
        <v>0</v>
      </c>
      <c r="L2678">
        <v>0</v>
      </c>
    </row>
    <row r="2679" spans="1:12" x14ac:dyDescent="0.25">
      <c r="A2679" t="str">
        <f t="shared" si="41"/>
        <v>2002222924342026M05</v>
      </c>
      <c r="B2679">
        <v>51321001</v>
      </c>
      <c r="C2679">
        <v>29</v>
      </c>
      <c r="D2679">
        <v>200222</v>
      </c>
      <c r="E2679">
        <v>292434</v>
      </c>
      <c r="F2679" t="s">
        <v>115</v>
      </c>
      <c r="G2679" t="s">
        <v>67</v>
      </c>
      <c r="H2679">
        <v>0</v>
      </c>
      <c r="I2679">
        <v>0</v>
      </c>
      <c r="J2679">
        <v>0</v>
      </c>
      <c r="K2679">
        <v>0</v>
      </c>
      <c r="L2679">
        <v>0</v>
      </c>
    </row>
    <row r="2680" spans="1:12" x14ac:dyDescent="0.25">
      <c r="A2680" t="str">
        <f t="shared" si="41"/>
        <v>2002222924342026M06</v>
      </c>
      <c r="B2680">
        <v>51321001</v>
      </c>
      <c r="C2680">
        <v>29</v>
      </c>
      <c r="D2680">
        <v>200222</v>
      </c>
      <c r="E2680">
        <v>292434</v>
      </c>
      <c r="F2680" t="s">
        <v>115</v>
      </c>
      <c r="G2680" t="s">
        <v>68</v>
      </c>
      <c r="H2680">
        <v>0</v>
      </c>
      <c r="I2680">
        <v>0</v>
      </c>
      <c r="J2680">
        <v>0</v>
      </c>
      <c r="K2680">
        <v>0</v>
      </c>
      <c r="L2680">
        <v>0</v>
      </c>
    </row>
    <row r="2681" spans="1:12" x14ac:dyDescent="0.25">
      <c r="A2681" t="str">
        <f t="shared" si="41"/>
        <v>2002222924342026M07</v>
      </c>
      <c r="B2681">
        <v>51321001</v>
      </c>
      <c r="C2681">
        <v>29</v>
      </c>
      <c r="D2681">
        <v>200222</v>
      </c>
      <c r="E2681">
        <v>292434</v>
      </c>
      <c r="F2681" t="s">
        <v>115</v>
      </c>
      <c r="G2681" t="s">
        <v>69</v>
      </c>
      <c r="H2681">
        <v>0</v>
      </c>
      <c r="I2681">
        <v>0</v>
      </c>
      <c r="J2681">
        <v>0</v>
      </c>
      <c r="K2681">
        <v>0</v>
      </c>
      <c r="L2681">
        <v>0</v>
      </c>
    </row>
    <row r="2682" spans="1:12" x14ac:dyDescent="0.25">
      <c r="A2682" t="str">
        <f t="shared" si="41"/>
        <v>2002222924342026M08</v>
      </c>
      <c r="B2682">
        <v>51321001</v>
      </c>
      <c r="C2682">
        <v>29</v>
      </c>
      <c r="D2682">
        <v>200222</v>
      </c>
      <c r="E2682">
        <v>292434</v>
      </c>
      <c r="F2682" t="s">
        <v>115</v>
      </c>
      <c r="G2682" t="s">
        <v>70</v>
      </c>
      <c r="H2682">
        <v>0</v>
      </c>
      <c r="I2682">
        <v>0</v>
      </c>
      <c r="J2682">
        <v>0</v>
      </c>
      <c r="K2682">
        <v>0</v>
      </c>
      <c r="L2682">
        <v>0</v>
      </c>
    </row>
    <row r="2683" spans="1:12" x14ac:dyDescent="0.25">
      <c r="A2683" t="str">
        <f t="shared" si="41"/>
        <v>2002222924342026M09</v>
      </c>
      <c r="B2683">
        <v>51321001</v>
      </c>
      <c r="C2683">
        <v>29</v>
      </c>
      <c r="D2683">
        <v>200222</v>
      </c>
      <c r="E2683">
        <v>292434</v>
      </c>
      <c r="F2683" t="s">
        <v>115</v>
      </c>
      <c r="G2683" t="s">
        <v>71</v>
      </c>
      <c r="H2683">
        <v>0</v>
      </c>
      <c r="I2683">
        <v>0</v>
      </c>
      <c r="J2683">
        <v>0</v>
      </c>
      <c r="K2683">
        <v>0</v>
      </c>
      <c r="L2683">
        <v>0</v>
      </c>
    </row>
    <row r="2684" spans="1:12" x14ac:dyDescent="0.25">
      <c r="A2684" t="str">
        <f t="shared" si="41"/>
        <v>2002222924342026M10</v>
      </c>
      <c r="B2684">
        <v>51321001</v>
      </c>
      <c r="C2684">
        <v>29</v>
      </c>
      <c r="D2684">
        <v>200222</v>
      </c>
      <c r="E2684">
        <v>292434</v>
      </c>
      <c r="F2684" t="s">
        <v>115</v>
      </c>
      <c r="G2684" t="s">
        <v>72</v>
      </c>
      <c r="H2684">
        <v>37935</v>
      </c>
      <c r="I2684">
        <v>0</v>
      </c>
      <c r="J2684">
        <v>37935</v>
      </c>
      <c r="K2684">
        <v>0</v>
      </c>
      <c r="L2684">
        <v>0</v>
      </c>
    </row>
    <row r="2685" spans="1:12" x14ac:dyDescent="0.25">
      <c r="A2685" t="str">
        <f t="shared" si="41"/>
        <v>2002222924342026M11</v>
      </c>
      <c r="B2685">
        <v>51321001</v>
      </c>
      <c r="C2685">
        <v>29</v>
      </c>
      <c r="D2685">
        <v>200222</v>
      </c>
      <c r="E2685">
        <v>292434</v>
      </c>
      <c r="F2685" t="s">
        <v>115</v>
      </c>
      <c r="G2685" t="s">
        <v>73</v>
      </c>
      <c r="H2685">
        <v>4215</v>
      </c>
      <c r="I2685">
        <v>0</v>
      </c>
      <c r="J2685">
        <v>4215</v>
      </c>
      <c r="K2685">
        <v>0</v>
      </c>
      <c r="L2685">
        <v>0</v>
      </c>
    </row>
    <row r="2686" spans="1:12" x14ac:dyDescent="0.25">
      <c r="A2686" t="str">
        <f t="shared" si="41"/>
        <v>2002222924342026M12</v>
      </c>
      <c r="B2686">
        <v>51321001</v>
      </c>
      <c r="C2686">
        <v>29</v>
      </c>
      <c r="D2686">
        <v>200222</v>
      </c>
      <c r="E2686">
        <v>292434</v>
      </c>
      <c r="F2686" t="s">
        <v>115</v>
      </c>
      <c r="G2686" t="s">
        <v>74</v>
      </c>
      <c r="H2686">
        <v>8421.36</v>
      </c>
      <c r="I2686">
        <v>0</v>
      </c>
      <c r="J2686">
        <v>8421.36</v>
      </c>
      <c r="K2686">
        <v>0</v>
      </c>
      <c r="L2686">
        <v>0</v>
      </c>
    </row>
    <row r="2687" spans="1:12" x14ac:dyDescent="0.25">
      <c r="A2687" t="str">
        <f t="shared" si="41"/>
        <v>2002222924372026M02</v>
      </c>
      <c r="B2687">
        <v>51321001</v>
      </c>
      <c r="C2687">
        <v>29</v>
      </c>
      <c r="D2687">
        <v>200222</v>
      </c>
      <c r="E2687">
        <v>292437</v>
      </c>
      <c r="F2687" t="s">
        <v>115</v>
      </c>
      <c r="G2687" t="s">
        <v>64</v>
      </c>
      <c r="H2687">
        <v>0</v>
      </c>
      <c r="I2687">
        <v>0</v>
      </c>
      <c r="J2687">
        <v>0</v>
      </c>
      <c r="K2687">
        <v>0</v>
      </c>
      <c r="L2687">
        <v>0</v>
      </c>
    </row>
    <row r="2688" spans="1:12" x14ac:dyDescent="0.25">
      <c r="A2688" t="str">
        <f t="shared" si="41"/>
        <v>2002222924372026M03</v>
      </c>
      <c r="B2688">
        <v>51321001</v>
      </c>
      <c r="C2688">
        <v>29</v>
      </c>
      <c r="D2688">
        <v>200222</v>
      </c>
      <c r="E2688">
        <v>292437</v>
      </c>
      <c r="F2688" t="s">
        <v>115</v>
      </c>
      <c r="G2688" t="s">
        <v>65</v>
      </c>
      <c r="H2688">
        <v>0</v>
      </c>
      <c r="I2688">
        <v>0</v>
      </c>
      <c r="J2688">
        <v>0</v>
      </c>
      <c r="K2688">
        <v>0</v>
      </c>
      <c r="L2688">
        <v>0</v>
      </c>
    </row>
    <row r="2689" spans="1:12" x14ac:dyDescent="0.25">
      <c r="A2689" t="str">
        <f t="shared" si="41"/>
        <v>2002222924372026M04</v>
      </c>
      <c r="B2689">
        <v>51321001</v>
      </c>
      <c r="C2689">
        <v>29</v>
      </c>
      <c r="D2689">
        <v>200222</v>
      </c>
      <c r="E2689">
        <v>292437</v>
      </c>
      <c r="F2689" t="s">
        <v>115</v>
      </c>
      <c r="G2689" t="s">
        <v>66</v>
      </c>
      <c r="H2689">
        <v>0</v>
      </c>
      <c r="I2689">
        <v>0</v>
      </c>
      <c r="J2689">
        <v>0</v>
      </c>
      <c r="K2689">
        <v>0</v>
      </c>
      <c r="L2689">
        <v>0</v>
      </c>
    </row>
    <row r="2690" spans="1:12" x14ac:dyDescent="0.25">
      <c r="A2690" t="str">
        <f t="shared" si="41"/>
        <v>2002222924372026M05</v>
      </c>
      <c r="B2690">
        <v>51321001</v>
      </c>
      <c r="C2690">
        <v>29</v>
      </c>
      <c r="D2690">
        <v>200222</v>
      </c>
      <c r="E2690">
        <v>292437</v>
      </c>
      <c r="F2690" t="s">
        <v>115</v>
      </c>
      <c r="G2690" t="s">
        <v>67</v>
      </c>
      <c r="H2690">
        <v>0</v>
      </c>
      <c r="I2690">
        <v>0</v>
      </c>
      <c r="J2690">
        <v>0</v>
      </c>
      <c r="K2690">
        <v>0</v>
      </c>
      <c r="L2690">
        <v>0</v>
      </c>
    </row>
    <row r="2691" spans="1:12" x14ac:dyDescent="0.25">
      <c r="A2691" t="str">
        <f t="shared" si="41"/>
        <v>2002222924372026M06</v>
      </c>
      <c r="B2691">
        <v>51321001</v>
      </c>
      <c r="C2691">
        <v>29</v>
      </c>
      <c r="D2691">
        <v>200222</v>
      </c>
      <c r="E2691">
        <v>292437</v>
      </c>
      <c r="F2691" t="s">
        <v>115</v>
      </c>
      <c r="G2691" t="s">
        <v>68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25">
      <c r="A2692" t="str">
        <f t="shared" si="41"/>
        <v>2002222924372026M07</v>
      </c>
      <c r="B2692">
        <v>51321001</v>
      </c>
      <c r="C2692">
        <v>29</v>
      </c>
      <c r="D2692">
        <v>200222</v>
      </c>
      <c r="E2692">
        <v>292437</v>
      </c>
      <c r="F2692" t="s">
        <v>115</v>
      </c>
      <c r="G2692" t="s">
        <v>69</v>
      </c>
      <c r="H2692">
        <v>0</v>
      </c>
      <c r="I2692">
        <v>0</v>
      </c>
      <c r="J2692">
        <v>0</v>
      </c>
      <c r="K2692">
        <v>0</v>
      </c>
      <c r="L2692">
        <v>0</v>
      </c>
    </row>
    <row r="2693" spans="1:12" x14ac:dyDescent="0.25">
      <c r="A2693" t="str">
        <f t="shared" si="41"/>
        <v>2002222924372026M08</v>
      </c>
      <c r="B2693">
        <v>51321001</v>
      </c>
      <c r="C2693">
        <v>29</v>
      </c>
      <c r="D2693">
        <v>200222</v>
      </c>
      <c r="E2693">
        <v>292437</v>
      </c>
      <c r="F2693" t="s">
        <v>115</v>
      </c>
      <c r="G2693" t="s">
        <v>70</v>
      </c>
      <c r="H2693">
        <v>0</v>
      </c>
      <c r="I2693">
        <v>0</v>
      </c>
      <c r="J2693">
        <v>0</v>
      </c>
      <c r="K2693">
        <v>0</v>
      </c>
      <c r="L2693">
        <v>0</v>
      </c>
    </row>
    <row r="2694" spans="1:12" x14ac:dyDescent="0.25">
      <c r="A2694" t="str">
        <f t="shared" si="41"/>
        <v>2002222924372026M09</v>
      </c>
      <c r="B2694">
        <v>51321001</v>
      </c>
      <c r="C2694">
        <v>29</v>
      </c>
      <c r="D2694">
        <v>200222</v>
      </c>
      <c r="E2694">
        <v>292437</v>
      </c>
      <c r="F2694" t="s">
        <v>115</v>
      </c>
      <c r="G2694" t="s">
        <v>71</v>
      </c>
      <c r="H2694">
        <v>0</v>
      </c>
      <c r="I2694">
        <v>0</v>
      </c>
      <c r="J2694">
        <v>0</v>
      </c>
      <c r="K2694">
        <v>0</v>
      </c>
      <c r="L2694">
        <v>0</v>
      </c>
    </row>
    <row r="2695" spans="1:12" x14ac:dyDescent="0.25">
      <c r="A2695" t="str">
        <f t="shared" si="41"/>
        <v>2002222924372026M10</v>
      </c>
      <c r="B2695">
        <v>51321001</v>
      </c>
      <c r="C2695">
        <v>29</v>
      </c>
      <c r="D2695">
        <v>200222</v>
      </c>
      <c r="E2695">
        <v>292437</v>
      </c>
      <c r="F2695" t="s">
        <v>115</v>
      </c>
      <c r="G2695" t="s">
        <v>72</v>
      </c>
      <c r="H2695">
        <v>0</v>
      </c>
      <c r="I2695">
        <v>0</v>
      </c>
      <c r="J2695">
        <v>0</v>
      </c>
      <c r="K2695">
        <v>0</v>
      </c>
      <c r="L2695">
        <v>0</v>
      </c>
    </row>
    <row r="2696" spans="1:12" x14ac:dyDescent="0.25">
      <c r="A2696" t="str">
        <f t="shared" si="41"/>
        <v>2002222924372026M11</v>
      </c>
      <c r="B2696">
        <v>51321001</v>
      </c>
      <c r="C2696">
        <v>29</v>
      </c>
      <c r="D2696">
        <v>200222</v>
      </c>
      <c r="E2696">
        <v>292437</v>
      </c>
      <c r="F2696" t="s">
        <v>115</v>
      </c>
      <c r="G2696" t="s">
        <v>73</v>
      </c>
      <c r="H2696">
        <v>0</v>
      </c>
      <c r="I2696">
        <v>0</v>
      </c>
      <c r="J2696">
        <v>0</v>
      </c>
      <c r="K2696">
        <v>0</v>
      </c>
      <c r="L2696">
        <v>0</v>
      </c>
    </row>
    <row r="2697" spans="1:12" x14ac:dyDescent="0.25">
      <c r="A2697" t="str">
        <f t="shared" si="41"/>
        <v>2002222924372026M12</v>
      </c>
      <c r="B2697">
        <v>51321001</v>
      </c>
      <c r="C2697">
        <v>29</v>
      </c>
      <c r="D2697">
        <v>200222</v>
      </c>
      <c r="E2697">
        <v>292437</v>
      </c>
      <c r="F2697" t="s">
        <v>115</v>
      </c>
      <c r="G2697" t="s">
        <v>74</v>
      </c>
      <c r="H2697">
        <v>0</v>
      </c>
      <c r="I2697">
        <v>0</v>
      </c>
      <c r="J2697">
        <v>0</v>
      </c>
      <c r="K2697">
        <v>0</v>
      </c>
      <c r="L2697">
        <v>0</v>
      </c>
    </row>
    <row r="2698" spans="1:12" x14ac:dyDescent="0.25">
      <c r="A2698" t="str">
        <f t="shared" si="41"/>
        <v>2002222924402026M02</v>
      </c>
      <c r="B2698">
        <v>51321001</v>
      </c>
      <c r="C2698">
        <v>29</v>
      </c>
      <c r="D2698">
        <v>200222</v>
      </c>
      <c r="E2698">
        <v>292440</v>
      </c>
      <c r="F2698" t="s">
        <v>115</v>
      </c>
      <c r="G2698" t="s">
        <v>64</v>
      </c>
      <c r="H2698">
        <v>0</v>
      </c>
      <c r="I2698">
        <v>0</v>
      </c>
      <c r="J2698">
        <v>0</v>
      </c>
      <c r="K2698">
        <v>0</v>
      </c>
      <c r="L2698">
        <v>0</v>
      </c>
    </row>
    <row r="2699" spans="1:12" x14ac:dyDescent="0.25">
      <c r="A2699" t="str">
        <f t="shared" ref="A2699:A2762" si="42">D2699&amp;E2699&amp;G2699</f>
        <v>2002222924402026M03</v>
      </c>
      <c r="B2699">
        <v>51321001</v>
      </c>
      <c r="C2699">
        <v>29</v>
      </c>
      <c r="D2699">
        <v>200222</v>
      </c>
      <c r="E2699">
        <v>292440</v>
      </c>
      <c r="F2699" t="s">
        <v>115</v>
      </c>
      <c r="G2699" t="s">
        <v>65</v>
      </c>
      <c r="H2699">
        <v>0</v>
      </c>
      <c r="I2699">
        <v>0</v>
      </c>
      <c r="J2699">
        <v>0</v>
      </c>
      <c r="K2699">
        <v>0</v>
      </c>
      <c r="L2699">
        <v>0</v>
      </c>
    </row>
    <row r="2700" spans="1:12" x14ac:dyDescent="0.25">
      <c r="A2700" t="str">
        <f t="shared" si="42"/>
        <v>2002222924402026M04</v>
      </c>
      <c r="B2700">
        <v>51321001</v>
      </c>
      <c r="C2700">
        <v>29</v>
      </c>
      <c r="D2700">
        <v>200222</v>
      </c>
      <c r="E2700">
        <v>292440</v>
      </c>
      <c r="F2700" t="s">
        <v>115</v>
      </c>
      <c r="G2700" t="s">
        <v>66</v>
      </c>
      <c r="H2700">
        <v>0</v>
      </c>
      <c r="I2700">
        <v>0</v>
      </c>
      <c r="J2700">
        <v>0</v>
      </c>
      <c r="K2700">
        <v>0</v>
      </c>
      <c r="L2700">
        <v>0</v>
      </c>
    </row>
    <row r="2701" spans="1:12" x14ac:dyDescent="0.25">
      <c r="A2701" t="str">
        <f t="shared" si="42"/>
        <v>2002222924402026M05</v>
      </c>
      <c r="B2701">
        <v>51321001</v>
      </c>
      <c r="C2701">
        <v>29</v>
      </c>
      <c r="D2701">
        <v>200222</v>
      </c>
      <c r="E2701">
        <v>292440</v>
      </c>
      <c r="F2701" t="s">
        <v>115</v>
      </c>
      <c r="G2701" t="s">
        <v>67</v>
      </c>
      <c r="H2701">
        <v>17664.599999999999</v>
      </c>
      <c r="I2701">
        <v>17664.599999999999</v>
      </c>
      <c r="J2701">
        <v>0</v>
      </c>
      <c r="K2701">
        <v>0</v>
      </c>
      <c r="L2701">
        <v>0</v>
      </c>
    </row>
    <row r="2702" spans="1:12" x14ac:dyDescent="0.25">
      <c r="A2702" t="str">
        <f t="shared" si="42"/>
        <v>2002222924402026M06</v>
      </c>
      <c r="B2702">
        <v>51321001</v>
      </c>
      <c r="C2702">
        <v>29</v>
      </c>
      <c r="D2702">
        <v>200222</v>
      </c>
      <c r="E2702">
        <v>292440</v>
      </c>
      <c r="F2702" t="s">
        <v>115</v>
      </c>
      <c r="G2702" t="s">
        <v>68</v>
      </c>
      <c r="H2702">
        <v>5888.2</v>
      </c>
      <c r="I2702">
        <v>5888.2</v>
      </c>
      <c r="J2702">
        <v>0</v>
      </c>
      <c r="K2702">
        <v>0</v>
      </c>
      <c r="L2702">
        <v>0</v>
      </c>
    </row>
    <row r="2703" spans="1:12" x14ac:dyDescent="0.25">
      <c r="A2703" t="str">
        <f t="shared" si="42"/>
        <v>2002222924402026M07</v>
      </c>
      <c r="B2703">
        <v>51321001</v>
      </c>
      <c r="C2703">
        <v>29</v>
      </c>
      <c r="D2703">
        <v>200222</v>
      </c>
      <c r="E2703">
        <v>292440</v>
      </c>
      <c r="F2703" t="s">
        <v>115</v>
      </c>
      <c r="G2703" t="s">
        <v>69</v>
      </c>
      <c r="H2703">
        <v>5888.2</v>
      </c>
      <c r="I2703">
        <v>5888.2</v>
      </c>
      <c r="J2703">
        <v>0</v>
      </c>
      <c r="K2703">
        <v>0</v>
      </c>
      <c r="L2703">
        <v>0</v>
      </c>
    </row>
    <row r="2704" spans="1:12" x14ac:dyDescent="0.25">
      <c r="A2704" t="str">
        <f t="shared" si="42"/>
        <v>2002222924402026M08</v>
      </c>
      <c r="B2704">
        <v>51321001</v>
      </c>
      <c r="C2704">
        <v>29</v>
      </c>
      <c r="D2704">
        <v>200222</v>
      </c>
      <c r="E2704">
        <v>292440</v>
      </c>
      <c r="F2704" t="s">
        <v>115</v>
      </c>
      <c r="G2704" t="s">
        <v>70</v>
      </c>
      <c r="H2704">
        <v>5888.2</v>
      </c>
      <c r="I2704">
        <v>5888.2</v>
      </c>
      <c r="J2704">
        <v>0</v>
      </c>
      <c r="K2704">
        <v>0</v>
      </c>
      <c r="L2704">
        <v>0</v>
      </c>
    </row>
    <row r="2705" spans="1:12" x14ac:dyDescent="0.25">
      <c r="A2705" t="str">
        <f t="shared" si="42"/>
        <v>2002222924402026M09</v>
      </c>
      <c r="B2705">
        <v>51321001</v>
      </c>
      <c r="C2705">
        <v>29</v>
      </c>
      <c r="D2705">
        <v>200222</v>
      </c>
      <c r="E2705">
        <v>292440</v>
      </c>
      <c r="F2705" t="s">
        <v>115</v>
      </c>
      <c r="G2705" t="s">
        <v>71</v>
      </c>
      <c r="H2705">
        <v>5888.2</v>
      </c>
      <c r="I2705">
        <v>5888.2</v>
      </c>
      <c r="J2705">
        <v>0</v>
      </c>
      <c r="K2705">
        <v>0</v>
      </c>
      <c r="L2705">
        <v>0</v>
      </c>
    </row>
    <row r="2706" spans="1:12" x14ac:dyDescent="0.25">
      <c r="A2706" t="str">
        <f t="shared" si="42"/>
        <v>2002222924402026M10</v>
      </c>
      <c r="B2706">
        <v>51321001</v>
      </c>
      <c r="C2706">
        <v>29</v>
      </c>
      <c r="D2706">
        <v>200222</v>
      </c>
      <c r="E2706">
        <v>292440</v>
      </c>
      <c r="F2706" t="s">
        <v>115</v>
      </c>
      <c r="G2706" t="s">
        <v>72</v>
      </c>
      <c r="H2706">
        <v>11774.08</v>
      </c>
      <c r="I2706">
        <v>5888.2</v>
      </c>
      <c r="J2706">
        <v>5885.88</v>
      </c>
      <c r="K2706">
        <v>0</v>
      </c>
      <c r="L2706">
        <v>0</v>
      </c>
    </row>
    <row r="2707" spans="1:12" x14ac:dyDescent="0.25">
      <c r="A2707" t="str">
        <f t="shared" si="42"/>
        <v>2002222924402026M11</v>
      </c>
      <c r="B2707">
        <v>51321001</v>
      </c>
      <c r="C2707">
        <v>29</v>
      </c>
      <c r="D2707">
        <v>200222</v>
      </c>
      <c r="E2707">
        <v>292440</v>
      </c>
      <c r="F2707" t="s">
        <v>115</v>
      </c>
      <c r="G2707" t="s">
        <v>73</v>
      </c>
      <c r="H2707">
        <v>5889</v>
      </c>
      <c r="I2707">
        <v>0</v>
      </c>
      <c r="J2707">
        <v>5889</v>
      </c>
      <c r="K2707">
        <v>0</v>
      </c>
      <c r="L2707">
        <v>0</v>
      </c>
    </row>
    <row r="2708" spans="1:12" x14ac:dyDescent="0.25">
      <c r="A2708" t="str">
        <f t="shared" si="42"/>
        <v>2002222924402026M12</v>
      </c>
      <c r="B2708">
        <v>51321001</v>
      </c>
      <c r="C2708">
        <v>29</v>
      </c>
      <c r="D2708">
        <v>200222</v>
      </c>
      <c r="E2708">
        <v>292440</v>
      </c>
      <c r="F2708" t="s">
        <v>115</v>
      </c>
      <c r="G2708" t="s">
        <v>74</v>
      </c>
      <c r="H2708">
        <v>11778</v>
      </c>
      <c r="I2708">
        <v>0</v>
      </c>
      <c r="J2708">
        <v>11778</v>
      </c>
      <c r="K2708">
        <v>0</v>
      </c>
      <c r="L2708">
        <v>0</v>
      </c>
    </row>
    <row r="2709" spans="1:12" x14ac:dyDescent="0.25">
      <c r="A2709" t="str">
        <f t="shared" si="42"/>
        <v>3802002959032026M02</v>
      </c>
      <c r="B2709">
        <v>51321001</v>
      </c>
      <c r="C2709">
        <v>29</v>
      </c>
      <c r="D2709">
        <v>380200</v>
      </c>
      <c r="E2709">
        <v>295903</v>
      </c>
      <c r="F2709" t="s">
        <v>115</v>
      </c>
      <c r="G2709" t="s">
        <v>64</v>
      </c>
      <c r="H2709">
        <v>0</v>
      </c>
      <c r="I2709">
        <v>0</v>
      </c>
      <c r="J2709">
        <v>0</v>
      </c>
      <c r="K2709">
        <v>0</v>
      </c>
      <c r="L2709">
        <v>0</v>
      </c>
    </row>
    <row r="2710" spans="1:12" x14ac:dyDescent="0.25">
      <c r="A2710" t="str">
        <f t="shared" si="42"/>
        <v>3802002959032026M03</v>
      </c>
      <c r="B2710">
        <v>51321001</v>
      </c>
      <c r="C2710">
        <v>29</v>
      </c>
      <c r="D2710">
        <v>380200</v>
      </c>
      <c r="E2710">
        <v>295903</v>
      </c>
      <c r="F2710" t="s">
        <v>115</v>
      </c>
      <c r="G2710" t="s">
        <v>65</v>
      </c>
      <c r="H2710">
        <v>0</v>
      </c>
      <c r="I2710">
        <v>0</v>
      </c>
      <c r="J2710">
        <v>0</v>
      </c>
      <c r="K2710">
        <v>0</v>
      </c>
      <c r="L2710">
        <v>0</v>
      </c>
    </row>
    <row r="2711" spans="1:12" x14ac:dyDescent="0.25">
      <c r="A2711" t="str">
        <f t="shared" si="42"/>
        <v>3802002959032026M04</v>
      </c>
      <c r="B2711">
        <v>51321001</v>
      </c>
      <c r="C2711">
        <v>29</v>
      </c>
      <c r="D2711">
        <v>380200</v>
      </c>
      <c r="E2711">
        <v>295903</v>
      </c>
      <c r="F2711" t="s">
        <v>115</v>
      </c>
      <c r="G2711" t="s">
        <v>66</v>
      </c>
      <c r="H2711">
        <v>0</v>
      </c>
      <c r="I2711">
        <v>0</v>
      </c>
      <c r="J2711">
        <v>0</v>
      </c>
      <c r="K2711">
        <v>0</v>
      </c>
      <c r="L2711">
        <v>0</v>
      </c>
    </row>
    <row r="2712" spans="1:12" x14ac:dyDescent="0.25">
      <c r="A2712" t="str">
        <f t="shared" si="42"/>
        <v>3802002959032026M05</v>
      </c>
      <c r="B2712">
        <v>51321001</v>
      </c>
      <c r="C2712">
        <v>29</v>
      </c>
      <c r="D2712">
        <v>380200</v>
      </c>
      <c r="E2712">
        <v>295903</v>
      </c>
      <c r="F2712" t="s">
        <v>115</v>
      </c>
      <c r="G2712" t="s">
        <v>67</v>
      </c>
      <c r="H2712">
        <v>245919.88</v>
      </c>
      <c r="I2712">
        <v>245919.88</v>
      </c>
      <c r="J2712">
        <v>0</v>
      </c>
      <c r="K2712">
        <v>0</v>
      </c>
      <c r="L2712">
        <v>0</v>
      </c>
    </row>
    <row r="2713" spans="1:12" x14ac:dyDescent="0.25">
      <c r="A2713" t="str">
        <f t="shared" si="42"/>
        <v>3802002959032026M06</v>
      </c>
      <c r="B2713">
        <v>51321001</v>
      </c>
      <c r="C2713">
        <v>29</v>
      </c>
      <c r="D2713">
        <v>380200</v>
      </c>
      <c r="E2713">
        <v>295903</v>
      </c>
      <c r="F2713" t="s">
        <v>115</v>
      </c>
      <c r="G2713" t="s">
        <v>68</v>
      </c>
      <c r="H2713">
        <v>61479.97</v>
      </c>
      <c r="I2713">
        <v>61479.97</v>
      </c>
      <c r="J2713">
        <v>0</v>
      </c>
      <c r="K2713">
        <v>0</v>
      </c>
      <c r="L2713">
        <v>0</v>
      </c>
    </row>
    <row r="2714" spans="1:12" x14ac:dyDescent="0.25">
      <c r="A2714" t="str">
        <f t="shared" si="42"/>
        <v>3802002959032026M07</v>
      </c>
      <c r="B2714">
        <v>51321001</v>
      </c>
      <c r="C2714">
        <v>29</v>
      </c>
      <c r="D2714">
        <v>380200</v>
      </c>
      <c r="E2714">
        <v>295903</v>
      </c>
      <c r="F2714" t="s">
        <v>115</v>
      </c>
      <c r="G2714" t="s">
        <v>69</v>
      </c>
      <c r="H2714">
        <v>61479.97</v>
      </c>
      <c r="I2714">
        <v>61479.97</v>
      </c>
      <c r="J2714">
        <v>0</v>
      </c>
      <c r="K2714">
        <v>0</v>
      </c>
      <c r="L2714">
        <v>0</v>
      </c>
    </row>
    <row r="2715" spans="1:12" x14ac:dyDescent="0.25">
      <c r="A2715" t="str">
        <f t="shared" si="42"/>
        <v>3802002959032026M08</v>
      </c>
      <c r="B2715">
        <v>51321001</v>
      </c>
      <c r="C2715">
        <v>29</v>
      </c>
      <c r="D2715">
        <v>380200</v>
      </c>
      <c r="E2715">
        <v>295903</v>
      </c>
      <c r="F2715" t="s">
        <v>115</v>
      </c>
      <c r="G2715" t="s">
        <v>70</v>
      </c>
      <c r="H2715">
        <v>61479.97</v>
      </c>
      <c r="I2715">
        <v>61479.97</v>
      </c>
      <c r="J2715">
        <v>0</v>
      </c>
      <c r="K2715">
        <v>0</v>
      </c>
      <c r="L2715">
        <v>0</v>
      </c>
    </row>
    <row r="2716" spans="1:12" x14ac:dyDescent="0.25">
      <c r="A2716" t="str">
        <f t="shared" si="42"/>
        <v>3802002959032026M09</v>
      </c>
      <c r="B2716">
        <v>51321001</v>
      </c>
      <c r="C2716">
        <v>29</v>
      </c>
      <c r="D2716">
        <v>380200</v>
      </c>
      <c r="E2716">
        <v>295903</v>
      </c>
      <c r="F2716" t="s">
        <v>115</v>
      </c>
      <c r="G2716" t="s">
        <v>71</v>
      </c>
      <c r="H2716">
        <v>61479.97</v>
      </c>
      <c r="I2716">
        <v>61479.97</v>
      </c>
      <c r="J2716">
        <v>0</v>
      </c>
      <c r="K2716">
        <v>0</v>
      </c>
      <c r="L2716">
        <v>0</v>
      </c>
    </row>
    <row r="2717" spans="1:12" x14ac:dyDescent="0.25">
      <c r="A2717" t="str">
        <f t="shared" si="42"/>
        <v>3802002959032026M10</v>
      </c>
      <c r="B2717">
        <v>51321001</v>
      </c>
      <c r="C2717">
        <v>29</v>
      </c>
      <c r="D2717">
        <v>380200</v>
      </c>
      <c r="E2717">
        <v>295903</v>
      </c>
      <c r="F2717" t="s">
        <v>115</v>
      </c>
      <c r="G2717" t="s">
        <v>72</v>
      </c>
      <c r="H2717">
        <v>61480.24</v>
      </c>
      <c r="I2717">
        <v>61479.97</v>
      </c>
      <c r="J2717">
        <v>0.27</v>
      </c>
      <c r="K2717">
        <v>0</v>
      </c>
      <c r="L2717">
        <v>0</v>
      </c>
    </row>
    <row r="2718" spans="1:12" x14ac:dyDescent="0.25">
      <c r="A2718" t="str">
        <f t="shared" si="42"/>
        <v>3802002959032026M11</v>
      </c>
      <c r="B2718">
        <v>51321001</v>
      </c>
      <c r="C2718">
        <v>29</v>
      </c>
      <c r="D2718">
        <v>380200</v>
      </c>
      <c r="E2718">
        <v>295903</v>
      </c>
      <c r="F2718" t="s">
        <v>115</v>
      </c>
      <c r="G2718" t="s">
        <v>73</v>
      </c>
      <c r="H2718">
        <v>61480</v>
      </c>
      <c r="I2718">
        <v>0</v>
      </c>
      <c r="J2718">
        <v>61480</v>
      </c>
      <c r="K2718">
        <v>0</v>
      </c>
      <c r="L2718">
        <v>0</v>
      </c>
    </row>
    <row r="2719" spans="1:12" x14ac:dyDescent="0.25">
      <c r="A2719" t="str">
        <f t="shared" si="42"/>
        <v>3802002959032026M12</v>
      </c>
      <c r="B2719">
        <v>51321001</v>
      </c>
      <c r="C2719">
        <v>29</v>
      </c>
      <c r="D2719">
        <v>380200</v>
      </c>
      <c r="E2719">
        <v>295903</v>
      </c>
      <c r="F2719" t="s">
        <v>115</v>
      </c>
      <c r="G2719" t="s">
        <v>74</v>
      </c>
      <c r="H2719">
        <v>122960</v>
      </c>
      <c r="I2719">
        <v>0</v>
      </c>
      <c r="J2719">
        <v>122960</v>
      </c>
      <c r="K2719">
        <v>0</v>
      </c>
      <c r="L2719">
        <v>0</v>
      </c>
    </row>
    <row r="2720" spans="1:12" x14ac:dyDescent="0.25">
      <c r="A2720" t="str">
        <f t="shared" si="42"/>
        <v>9001102991012026M02</v>
      </c>
      <c r="B2720">
        <v>51321001</v>
      </c>
      <c r="C2720">
        <v>29</v>
      </c>
      <c r="D2720">
        <v>900110</v>
      </c>
      <c r="E2720">
        <v>299101</v>
      </c>
      <c r="F2720" t="s">
        <v>115</v>
      </c>
      <c r="G2720" t="s">
        <v>64</v>
      </c>
      <c r="H2720">
        <v>0</v>
      </c>
      <c r="I2720">
        <v>0</v>
      </c>
      <c r="J2720">
        <v>0</v>
      </c>
      <c r="K2720">
        <v>0</v>
      </c>
      <c r="L2720">
        <v>0</v>
      </c>
    </row>
    <row r="2721" spans="1:12" x14ac:dyDescent="0.25">
      <c r="A2721" t="str">
        <f t="shared" si="42"/>
        <v>9001102991012026M03</v>
      </c>
      <c r="B2721">
        <v>51321001</v>
      </c>
      <c r="C2721">
        <v>29</v>
      </c>
      <c r="D2721">
        <v>900110</v>
      </c>
      <c r="E2721">
        <v>299101</v>
      </c>
      <c r="F2721" t="s">
        <v>115</v>
      </c>
      <c r="G2721" t="s">
        <v>65</v>
      </c>
      <c r="H2721">
        <v>0</v>
      </c>
      <c r="I2721">
        <v>0</v>
      </c>
      <c r="J2721">
        <v>0</v>
      </c>
      <c r="K2721">
        <v>0</v>
      </c>
      <c r="L2721">
        <v>0</v>
      </c>
    </row>
    <row r="2722" spans="1:12" x14ac:dyDescent="0.25">
      <c r="A2722" t="str">
        <f t="shared" si="42"/>
        <v>9001102991012026M04</v>
      </c>
      <c r="B2722">
        <v>51321001</v>
      </c>
      <c r="C2722">
        <v>29</v>
      </c>
      <c r="D2722">
        <v>900110</v>
      </c>
      <c r="E2722">
        <v>299101</v>
      </c>
      <c r="F2722" t="s">
        <v>115</v>
      </c>
      <c r="G2722" t="s">
        <v>66</v>
      </c>
      <c r="H2722">
        <v>0</v>
      </c>
      <c r="I2722">
        <v>0</v>
      </c>
      <c r="J2722">
        <v>0</v>
      </c>
      <c r="K2722">
        <v>0</v>
      </c>
      <c r="L2722">
        <v>0</v>
      </c>
    </row>
    <row r="2723" spans="1:12" x14ac:dyDescent="0.25">
      <c r="A2723" t="str">
        <f t="shared" si="42"/>
        <v>9001102991012026M05</v>
      </c>
      <c r="B2723">
        <v>51321001</v>
      </c>
      <c r="C2723">
        <v>29</v>
      </c>
      <c r="D2723">
        <v>900110</v>
      </c>
      <c r="E2723">
        <v>299101</v>
      </c>
      <c r="F2723" t="s">
        <v>115</v>
      </c>
      <c r="G2723" t="s">
        <v>67</v>
      </c>
      <c r="H2723">
        <v>0</v>
      </c>
      <c r="I2723">
        <v>0</v>
      </c>
      <c r="J2723">
        <v>0</v>
      </c>
      <c r="K2723">
        <v>0</v>
      </c>
      <c r="L2723">
        <v>0</v>
      </c>
    </row>
    <row r="2724" spans="1:12" x14ac:dyDescent="0.25">
      <c r="A2724" t="str">
        <f t="shared" si="42"/>
        <v>9001102991012026M06</v>
      </c>
      <c r="B2724">
        <v>51321001</v>
      </c>
      <c r="C2724">
        <v>29</v>
      </c>
      <c r="D2724">
        <v>900110</v>
      </c>
      <c r="E2724">
        <v>299101</v>
      </c>
      <c r="F2724" t="s">
        <v>115</v>
      </c>
      <c r="G2724" t="s">
        <v>68</v>
      </c>
      <c r="H2724">
        <v>256949.14</v>
      </c>
      <c r="I2724">
        <v>256949.14</v>
      </c>
      <c r="J2724">
        <v>0</v>
      </c>
      <c r="K2724">
        <v>0</v>
      </c>
      <c r="L2724">
        <v>0</v>
      </c>
    </row>
    <row r="2725" spans="1:12" x14ac:dyDescent="0.25">
      <c r="A2725" t="str">
        <f t="shared" si="42"/>
        <v>9001102991012026M07</v>
      </c>
      <c r="B2725">
        <v>51321001</v>
      </c>
      <c r="C2725">
        <v>29</v>
      </c>
      <c r="D2725">
        <v>900110</v>
      </c>
      <c r="E2725">
        <v>299101</v>
      </c>
      <c r="F2725" t="s">
        <v>115</v>
      </c>
      <c r="G2725" t="s">
        <v>69</v>
      </c>
      <c r="H2725">
        <v>104399.95</v>
      </c>
      <c r="I2725">
        <v>104399.95</v>
      </c>
      <c r="J2725">
        <v>0</v>
      </c>
      <c r="K2725">
        <v>0</v>
      </c>
      <c r="L2725">
        <v>0</v>
      </c>
    </row>
    <row r="2726" spans="1:12" x14ac:dyDescent="0.25">
      <c r="A2726" t="str">
        <f t="shared" si="42"/>
        <v>9001102991012026M08</v>
      </c>
      <c r="B2726">
        <v>51321001</v>
      </c>
      <c r="C2726">
        <v>29</v>
      </c>
      <c r="D2726">
        <v>900110</v>
      </c>
      <c r="E2726">
        <v>299101</v>
      </c>
      <c r="F2726" t="s">
        <v>115</v>
      </c>
      <c r="G2726" t="s">
        <v>70</v>
      </c>
      <c r="H2726">
        <v>104399.95</v>
      </c>
      <c r="I2726">
        <v>104399.95</v>
      </c>
      <c r="J2726">
        <v>0</v>
      </c>
      <c r="K2726">
        <v>0</v>
      </c>
      <c r="L2726">
        <v>0</v>
      </c>
    </row>
    <row r="2727" spans="1:12" x14ac:dyDescent="0.25">
      <c r="A2727" t="str">
        <f t="shared" si="42"/>
        <v>9001102991012026M09</v>
      </c>
      <c r="B2727">
        <v>51321001</v>
      </c>
      <c r="C2727">
        <v>29</v>
      </c>
      <c r="D2727">
        <v>900110</v>
      </c>
      <c r="E2727">
        <v>299101</v>
      </c>
      <c r="F2727" t="s">
        <v>115</v>
      </c>
      <c r="G2727" t="s">
        <v>71</v>
      </c>
      <c r="H2727">
        <v>104399.95</v>
      </c>
      <c r="I2727">
        <v>104399.95</v>
      </c>
      <c r="J2727">
        <v>0</v>
      </c>
      <c r="K2727">
        <v>0</v>
      </c>
      <c r="L2727">
        <v>0</v>
      </c>
    </row>
    <row r="2728" spans="1:12" x14ac:dyDescent="0.25">
      <c r="A2728" t="str">
        <f t="shared" si="42"/>
        <v>9001102991012026M10</v>
      </c>
      <c r="B2728">
        <v>51321001</v>
      </c>
      <c r="C2728">
        <v>29</v>
      </c>
      <c r="D2728">
        <v>900110</v>
      </c>
      <c r="E2728">
        <v>299101</v>
      </c>
      <c r="F2728" t="s">
        <v>115</v>
      </c>
      <c r="G2728" t="s">
        <v>72</v>
      </c>
      <c r="H2728">
        <v>208798.13</v>
      </c>
      <c r="I2728">
        <v>104399.95</v>
      </c>
      <c r="J2728">
        <v>104398.18</v>
      </c>
      <c r="K2728">
        <v>0</v>
      </c>
      <c r="L2728">
        <v>0</v>
      </c>
    </row>
    <row r="2729" spans="1:12" x14ac:dyDescent="0.25">
      <c r="A2729" t="str">
        <f t="shared" si="42"/>
        <v>9001102991012026M11</v>
      </c>
      <c r="B2729">
        <v>51321001</v>
      </c>
      <c r="C2729">
        <v>29</v>
      </c>
      <c r="D2729">
        <v>900110</v>
      </c>
      <c r="E2729">
        <v>299101</v>
      </c>
      <c r="F2729" t="s">
        <v>115</v>
      </c>
      <c r="G2729" t="s">
        <v>73</v>
      </c>
      <c r="H2729">
        <v>104400</v>
      </c>
      <c r="I2729">
        <v>0</v>
      </c>
      <c r="J2729">
        <v>104400</v>
      </c>
      <c r="K2729">
        <v>0</v>
      </c>
      <c r="L2729">
        <v>0</v>
      </c>
    </row>
    <row r="2730" spans="1:12" x14ac:dyDescent="0.25">
      <c r="A2730" t="str">
        <f t="shared" si="42"/>
        <v>9001102991012026M12</v>
      </c>
      <c r="B2730">
        <v>51321001</v>
      </c>
      <c r="C2730">
        <v>29</v>
      </c>
      <c r="D2730">
        <v>900110</v>
      </c>
      <c r="E2730">
        <v>299101</v>
      </c>
      <c r="F2730" t="s">
        <v>115</v>
      </c>
      <c r="G2730" t="s">
        <v>74</v>
      </c>
      <c r="H2730">
        <v>208800</v>
      </c>
      <c r="I2730">
        <v>0</v>
      </c>
      <c r="J2730">
        <v>208800</v>
      </c>
      <c r="K2730">
        <v>0</v>
      </c>
      <c r="L2730">
        <v>0</v>
      </c>
    </row>
    <row r="2731" spans="1:12" x14ac:dyDescent="0.25">
      <c r="A2731" t="str">
        <f t="shared" si="42"/>
        <v>9001102991042026M02</v>
      </c>
      <c r="B2731">
        <v>51321001</v>
      </c>
      <c r="C2731">
        <v>29</v>
      </c>
      <c r="D2731">
        <v>900110</v>
      </c>
      <c r="E2731">
        <v>299104</v>
      </c>
      <c r="F2731" t="s">
        <v>115</v>
      </c>
      <c r="G2731" t="s">
        <v>64</v>
      </c>
      <c r="H2731">
        <v>0</v>
      </c>
      <c r="I2731">
        <v>0</v>
      </c>
      <c r="J2731">
        <v>0</v>
      </c>
      <c r="K2731">
        <v>0</v>
      </c>
      <c r="L2731">
        <v>0</v>
      </c>
    </row>
    <row r="2732" spans="1:12" x14ac:dyDescent="0.25">
      <c r="A2732" t="str">
        <f t="shared" si="42"/>
        <v>9001102991042026M03</v>
      </c>
      <c r="B2732">
        <v>51321001</v>
      </c>
      <c r="C2732">
        <v>29</v>
      </c>
      <c r="D2732">
        <v>900110</v>
      </c>
      <c r="E2732">
        <v>299104</v>
      </c>
      <c r="F2732" t="s">
        <v>115</v>
      </c>
      <c r="G2732" t="s">
        <v>65</v>
      </c>
      <c r="H2732">
        <v>0</v>
      </c>
      <c r="I2732">
        <v>0</v>
      </c>
      <c r="J2732">
        <v>0</v>
      </c>
      <c r="K2732">
        <v>0</v>
      </c>
      <c r="L2732">
        <v>0</v>
      </c>
    </row>
    <row r="2733" spans="1:12" x14ac:dyDescent="0.25">
      <c r="A2733" t="str">
        <f t="shared" si="42"/>
        <v>9001102991042026M04</v>
      </c>
      <c r="B2733">
        <v>51321001</v>
      </c>
      <c r="C2733">
        <v>29</v>
      </c>
      <c r="D2733">
        <v>900110</v>
      </c>
      <c r="E2733">
        <v>299104</v>
      </c>
      <c r="F2733" t="s">
        <v>115</v>
      </c>
      <c r="G2733" t="s">
        <v>66</v>
      </c>
      <c r="H2733">
        <v>0</v>
      </c>
      <c r="I2733">
        <v>0</v>
      </c>
      <c r="J2733">
        <v>0</v>
      </c>
      <c r="K2733">
        <v>0</v>
      </c>
      <c r="L2733">
        <v>0</v>
      </c>
    </row>
    <row r="2734" spans="1:12" x14ac:dyDescent="0.25">
      <c r="A2734" t="str">
        <f t="shared" si="42"/>
        <v>9001102991042026M05</v>
      </c>
      <c r="B2734">
        <v>51321001</v>
      </c>
      <c r="C2734">
        <v>29</v>
      </c>
      <c r="D2734">
        <v>900110</v>
      </c>
      <c r="E2734">
        <v>299104</v>
      </c>
      <c r="F2734" t="s">
        <v>115</v>
      </c>
      <c r="G2734" t="s">
        <v>67</v>
      </c>
      <c r="H2734">
        <v>102589.64</v>
      </c>
      <c r="I2734">
        <v>102589.64</v>
      </c>
      <c r="J2734">
        <v>0</v>
      </c>
      <c r="K2734">
        <v>0</v>
      </c>
      <c r="L2734">
        <v>0</v>
      </c>
    </row>
    <row r="2735" spans="1:12" x14ac:dyDescent="0.25">
      <c r="A2735" t="str">
        <f t="shared" si="42"/>
        <v>9001102991042026M06</v>
      </c>
      <c r="B2735">
        <v>51321001</v>
      </c>
      <c r="C2735">
        <v>29</v>
      </c>
      <c r="D2735">
        <v>900110</v>
      </c>
      <c r="E2735">
        <v>299104</v>
      </c>
      <c r="F2735" t="s">
        <v>115</v>
      </c>
      <c r="G2735" t="s">
        <v>68</v>
      </c>
      <c r="H2735">
        <v>307768.92</v>
      </c>
      <c r="I2735">
        <v>307768.92</v>
      </c>
      <c r="J2735">
        <v>0</v>
      </c>
      <c r="K2735">
        <v>0</v>
      </c>
      <c r="L2735">
        <v>0</v>
      </c>
    </row>
    <row r="2736" spans="1:12" x14ac:dyDescent="0.25">
      <c r="A2736" t="str">
        <f t="shared" si="42"/>
        <v>9001102991042026M07</v>
      </c>
      <c r="B2736">
        <v>51321001</v>
      </c>
      <c r="C2736">
        <v>29</v>
      </c>
      <c r="D2736">
        <v>900110</v>
      </c>
      <c r="E2736">
        <v>299104</v>
      </c>
      <c r="F2736" t="s">
        <v>115</v>
      </c>
      <c r="G2736" t="s">
        <v>69</v>
      </c>
      <c r="H2736">
        <v>102589.64</v>
      </c>
      <c r="I2736">
        <v>102589.64</v>
      </c>
      <c r="J2736">
        <v>0</v>
      </c>
      <c r="K2736">
        <v>0</v>
      </c>
      <c r="L2736">
        <v>0</v>
      </c>
    </row>
    <row r="2737" spans="1:12" x14ac:dyDescent="0.25">
      <c r="A2737" t="str">
        <f t="shared" si="42"/>
        <v>9001102991042026M08</v>
      </c>
      <c r="B2737">
        <v>51321001</v>
      </c>
      <c r="C2737">
        <v>29</v>
      </c>
      <c r="D2737">
        <v>900110</v>
      </c>
      <c r="E2737">
        <v>299104</v>
      </c>
      <c r="F2737" t="s">
        <v>115</v>
      </c>
      <c r="G2737" t="s">
        <v>70</v>
      </c>
      <c r="H2737">
        <v>102583.93</v>
      </c>
      <c r="I2737">
        <v>102583.93</v>
      </c>
      <c r="J2737">
        <v>0</v>
      </c>
      <c r="K2737">
        <v>0</v>
      </c>
      <c r="L2737">
        <v>0</v>
      </c>
    </row>
    <row r="2738" spans="1:12" x14ac:dyDescent="0.25">
      <c r="A2738" t="str">
        <f t="shared" si="42"/>
        <v>9001102991042026M09</v>
      </c>
      <c r="B2738">
        <v>51321001</v>
      </c>
      <c r="C2738">
        <v>29</v>
      </c>
      <c r="D2738">
        <v>900110</v>
      </c>
      <c r="E2738">
        <v>299104</v>
      </c>
      <c r="F2738" t="s">
        <v>115</v>
      </c>
      <c r="G2738" t="s">
        <v>71</v>
      </c>
      <c r="H2738">
        <v>102583.85</v>
      </c>
      <c r="I2738">
        <v>102583.85</v>
      </c>
      <c r="J2738">
        <v>0</v>
      </c>
      <c r="K2738">
        <v>0</v>
      </c>
      <c r="L2738">
        <v>0</v>
      </c>
    </row>
    <row r="2739" spans="1:12" x14ac:dyDescent="0.25">
      <c r="A2739" t="str">
        <f t="shared" si="42"/>
        <v>9001102991042026M10</v>
      </c>
      <c r="B2739">
        <v>51321001</v>
      </c>
      <c r="C2739">
        <v>29</v>
      </c>
      <c r="D2739">
        <v>900110</v>
      </c>
      <c r="E2739">
        <v>299104</v>
      </c>
      <c r="F2739" t="s">
        <v>115</v>
      </c>
      <c r="G2739" t="s">
        <v>72</v>
      </c>
      <c r="H2739">
        <v>205120.87</v>
      </c>
      <c r="I2739">
        <v>102583.93</v>
      </c>
      <c r="J2739">
        <v>102536.94</v>
      </c>
      <c r="K2739">
        <v>0</v>
      </c>
      <c r="L2739">
        <v>0</v>
      </c>
    </row>
    <row r="2740" spans="1:12" x14ac:dyDescent="0.25">
      <c r="A2740" t="str">
        <f t="shared" si="42"/>
        <v>9001102991042026M11</v>
      </c>
      <c r="B2740">
        <v>51321001</v>
      </c>
      <c r="C2740">
        <v>29</v>
      </c>
      <c r="D2740">
        <v>900110</v>
      </c>
      <c r="E2740">
        <v>299104</v>
      </c>
      <c r="F2740" t="s">
        <v>115</v>
      </c>
      <c r="G2740" t="s">
        <v>73</v>
      </c>
      <c r="H2740">
        <v>102590</v>
      </c>
      <c r="I2740">
        <v>0</v>
      </c>
      <c r="J2740">
        <v>102590</v>
      </c>
      <c r="K2740">
        <v>0</v>
      </c>
      <c r="L2740">
        <v>0</v>
      </c>
    </row>
    <row r="2741" spans="1:12" x14ac:dyDescent="0.25">
      <c r="A2741" t="str">
        <f t="shared" si="42"/>
        <v>9001102991042026M12</v>
      </c>
      <c r="B2741">
        <v>51321001</v>
      </c>
      <c r="C2741">
        <v>29</v>
      </c>
      <c r="D2741">
        <v>900110</v>
      </c>
      <c r="E2741">
        <v>299104</v>
      </c>
      <c r="F2741" t="s">
        <v>115</v>
      </c>
      <c r="G2741" t="s">
        <v>74</v>
      </c>
      <c r="H2741">
        <v>205180</v>
      </c>
      <c r="I2741">
        <v>0</v>
      </c>
      <c r="J2741">
        <v>205180</v>
      </c>
      <c r="K2741">
        <v>0</v>
      </c>
      <c r="L2741">
        <v>0</v>
      </c>
    </row>
    <row r="2742" spans="1:12" x14ac:dyDescent="0.25">
      <c r="A2742" t="str">
        <f t="shared" si="42"/>
        <v>9202012980052026M02</v>
      </c>
      <c r="B2742">
        <v>51321001</v>
      </c>
      <c r="C2742">
        <v>29</v>
      </c>
      <c r="D2742">
        <v>920201</v>
      </c>
      <c r="E2742">
        <v>298005</v>
      </c>
      <c r="F2742" t="s">
        <v>115</v>
      </c>
      <c r="G2742" t="s">
        <v>64</v>
      </c>
      <c r="H2742">
        <v>0</v>
      </c>
      <c r="I2742">
        <v>0</v>
      </c>
      <c r="J2742">
        <v>0</v>
      </c>
      <c r="K2742">
        <v>0</v>
      </c>
      <c r="L2742">
        <v>0</v>
      </c>
    </row>
    <row r="2743" spans="1:12" x14ac:dyDescent="0.25">
      <c r="A2743" t="str">
        <f t="shared" si="42"/>
        <v>9202012980052026M03</v>
      </c>
      <c r="B2743">
        <v>51321001</v>
      </c>
      <c r="C2743">
        <v>29</v>
      </c>
      <c r="D2743">
        <v>920201</v>
      </c>
      <c r="E2743">
        <v>298005</v>
      </c>
      <c r="F2743" t="s">
        <v>115</v>
      </c>
      <c r="G2743" t="s">
        <v>65</v>
      </c>
      <c r="H2743">
        <v>0</v>
      </c>
      <c r="I2743">
        <v>0</v>
      </c>
      <c r="J2743">
        <v>0</v>
      </c>
      <c r="K2743">
        <v>0</v>
      </c>
      <c r="L2743">
        <v>0</v>
      </c>
    </row>
    <row r="2744" spans="1:12" x14ac:dyDescent="0.25">
      <c r="A2744" t="str">
        <f t="shared" si="42"/>
        <v>9202012980052026M04</v>
      </c>
      <c r="B2744">
        <v>51321001</v>
      </c>
      <c r="C2744">
        <v>29</v>
      </c>
      <c r="D2744">
        <v>920201</v>
      </c>
      <c r="E2744">
        <v>298005</v>
      </c>
      <c r="F2744" t="s">
        <v>115</v>
      </c>
      <c r="G2744" t="s">
        <v>66</v>
      </c>
      <c r="H2744">
        <v>0</v>
      </c>
      <c r="I2744">
        <v>0</v>
      </c>
      <c r="J2744">
        <v>0</v>
      </c>
      <c r="K2744">
        <v>0</v>
      </c>
      <c r="L2744">
        <v>0</v>
      </c>
    </row>
    <row r="2745" spans="1:12" x14ac:dyDescent="0.25">
      <c r="A2745" t="str">
        <f t="shared" si="42"/>
        <v>9202012980052026M05</v>
      </c>
      <c r="B2745">
        <v>51321001</v>
      </c>
      <c r="C2745">
        <v>29</v>
      </c>
      <c r="D2745">
        <v>920201</v>
      </c>
      <c r="E2745">
        <v>298005</v>
      </c>
      <c r="F2745" t="s">
        <v>115</v>
      </c>
      <c r="G2745" t="s">
        <v>67</v>
      </c>
      <c r="H2745">
        <v>116007.8</v>
      </c>
      <c r="I2745">
        <v>116007.8</v>
      </c>
      <c r="J2745">
        <v>0</v>
      </c>
      <c r="K2745">
        <v>0</v>
      </c>
      <c r="L2745">
        <v>0</v>
      </c>
    </row>
    <row r="2746" spans="1:12" x14ac:dyDescent="0.25">
      <c r="A2746" t="str">
        <f t="shared" si="42"/>
        <v>9202012980052026M06</v>
      </c>
      <c r="B2746">
        <v>51321001</v>
      </c>
      <c r="C2746">
        <v>29</v>
      </c>
      <c r="D2746">
        <v>920201</v>
      </c>
      <c r="E2746">
        <v>298005</v>
      </c>
      <c r="F2746" t="s">
        <v>115</v>
      </c>
      <c r="G2746" t="s">
        <v>68</v>
      </c>
      <c r="H2746">
        <v>29001.95</v>
      </c>
      <c r="I2746">
        <v>29001.95</v>
      </c>
      <c r="J2746">
        <v>0</v>
      </c>
      <c r="K2746">
        <v>0</v>
      </c>
      <c r="L2746">
        <v>0</v>
      </c>
    </row>
    <row r="2747" spans="1:12" x14ac:dyDescent="0.25">
      <c r="A2747" t="str">
        <f t="shared" si="42"/>
        <v>9202012980052026M07</v>
      </c>
      <c r="B2747">
        <v>51321001</v>
      </c>
      <c r="C2747">
        <v>29</v>
      </c>
      <c r="D2747">
        <v>920201</v>
      </c>
      <c r="E2747">
        <v>298005</v>
      </c>
      <c r="F2747" t="s">
        <v>115</v>
      </c>
      <c r="G2747" t="s">
        <v>69</v>
      </c>
      <c r="H2747">
        <v>29001.95</v>
      </c>
      <c r="I2747">
        <v>29001.95</v>
      </c>
      <c r="J2747">
        <v>0</v>
      </c>
      <c r="K2747">
        <v>0</v>
      </c>
      <c r="L2747">
        <v>0</v>
      </c>
    </row>
    <row r="2748" spans="1:12" x14ac:dyDescent="0.25">
      <c r="A2748" t="str">
        <f t="shared" si="42"/>
        <v>9202012980052026M08</v>
      </c>
      <c r="B2748">
        <v>51321001</v>
      </c>
      <c r="C2748">
        <v>29</v>
      </c>
      <c r="D2748">
        <v>920201</v>
      </c>
      <c r="E2748">
        <v>298005</v>
      </c>
      <c r="F2748" t="s">
        <v>115</v>
      </c>
      <c r="G2748" t="s">
        <v>70</v>
      </c>
      <c r="H2748">
        <v>29001.95</v>
      </c>
      <c r="I2748">
        <v>29001.95</v>
      </c>
      <c r="J2748">
        <v>0</v>
      </c>
      <c r="K2748">
        <v>0</v>
      </c>
      <c r="L2748">
        <v>0</v>
      </c>
    </row>
    <row r="2749" spans="1:12" x14ac:dyDescent="0.25">
      <c r="A2749" t="str">
        <f t="shared" si="42"/>
        <v>9202012980052026M09</v>
      </c>
      <c r="B2749">
        <v>51321001</v>
      </c>
      <c r="C2749">
        <v>29</v>
      </c>
      <c r="D2749">
        <v>920201</v>
      </c>
      <c r="E2749">
        <v>298005</v>
      </c>
      <c r="F2749" t="s">
        <v>115</v>
      </c>
      <c r="G2749" t="s">
        <v>71</v>
      </c>
      <c r="H2749">
        <v>29001.95</v>
      </c>
      <c r="I2749">
        <v>29001.95</v>
      </c>
      <c r="J2749">
        <v>0</v>
      </c>
      <c r="K2749">
        <v>0</v>
      </c>
      <c r="L2749">
        <v>0</v>
      </c>
    </row>
    <row r="2750" spans="1:12" x14ac:dyDescent="0.25">
      <c r="A2750" t="str">
        <f t="shared" si="42"/>
        <v>9202012980052026M10</v>
      </c>
      <c r="B2750">
        <v>51321001</v>
      </c>
      <c r="C2750">
        <v>29</v>
      </c>
      <c r="D2750">
        <v>920201</v>
      </c>
      <c r="E2750">
        <v>298005</v>
      </c>
      <c r="F2750" t="s">
        <v>115</v>
      </c>
      <c r="G2750" t="s">
        <v>72</v>
      </c>
      <c r="H2750">
        <v>29011.040000000001</v>
      </c>
      <c r="I2750">
        <v>29001.95</v>
      </c>
      <c r="J2750">
        <v>9.09</v>
      </c>
      <c r="K2750">
        <v>0</v>
      </c>
      <c r="L2750">
        <v>0</v>
      </c>
    </row>
    <row r="2751" spans="1:12" x14ac:dyDescent="0.25">
      <c r="A2751" t="str">
        <f t="shared" si="42"/>
        <v>9202012980052026M11</v>
      </c>
      <c r="B2751">
        <v>51321001</v>
      </c>
      <c r="C2751">
        <v>29</v>
      </c>
      <c r="D2751">
        <v>920201</v>
      </c>
      <c r="E2751">
        <v>298005</v>
      </c>
      <c r="F2751" t="s">
        <v>115</v>
      </c>
      <c r="G2751" t="s">
        <v>73</v>
      </c>
      <c r="H2751">
        <v>29003</v>
      </c>
      <c r="I2751">
        <v>0</v>
      </c>
      <c r="J2751">
        <v>29003</v>
      </c>
      <c r="K2751">
        <v>0</v>
      </c>
      <c r="L2751">
        <v>0</v>
      </c>
    </row>
    <row r="2752" spans="1:12" x14ac:dyDescent="0.25">
      <c r="A2752" t="str">
        <f t="shared" si="42"/>
        <v>9202012980052026M12</v>
      </c>
      <c r="B2752">
        <v>51321001</v>
      </c>
      <c r="C2752">
        <v>29</v>
      </c>
      <c r="D2752">
        <v>920201</v>
      </c>
      <c r="E2752">
        <v>298005</v>
      </c>
      <c r="F2752" t="s">
        <v>115</v>
      </c>
      <c r="G2752" t="s">
        <v>74</v>
      </c>
      <c r="H2752">
        <v>58006</v>
      </c>
      <c r="I2752">
        <v>0</v>
      </c>
      <c r="J2752">
        <v>58006</v>
      </c>
      <c r="K2752">
        <v>0</v>
      </c>
      <c r="L2752">
        <v>0</v>
      </c>
    </row>
    <row r="2753" spans="1:12" x14ac:dyDescent="0.25">
      <c r="A2753" t="str">
        <f t="shared" si="42"/>
        <v>1001003090012026M02</v>
      </c>
      <c r="B2753">
        <v>51321001</v>
      </c>
      <c r="C2753">
        <v>30</v>
      </c>
      <c r="D2753">
        <v>100100</v>
      </c>
      <c r="E2753">
        <v>309001</v>
      </c>
      <c r="F2753" t="s">
        <v>115</v>
      </c>
      <c r="G2753" t="s">
        <v>64</v>
      </c>
      <c r="H2753">
        <v>0</v>
      </c>
      <c r="I2753">
        <v>0</v>
      </c>
      <c r="J2753">
        <v>0</v>
      </c>
      <c r="K2753">
        <v>0</v>
      </c>
      <c r="L2753">
        <v>0</v>
      </c>
    </row>
    <row r="2754" spans="1:12" x14ac:dyDescent="0.25">
      <c r="A2754" t="str">
        <f t="shared" si="42"/>
        <v>1001003090012026M03</v>
      </c>
      <c r="B2754">
        <v>51321001</v>
      </c>
      <c r="C2754">
        <v>30</v>
      </c>
      <c r="D2754">
        <v>100100</v>
      </c>
      <c r="E2754">
        <v>309001</v>
      </c>
      <c r="F2754" t="s">
        <v>115</v>
      </c>
      <c r="G2754" t="s">
        <v>65</v>
      </c>
      <c r="H2754">
        <v>0</v>
      </c>
      <c r="I2754">
        <v>0</v>
      </c>
      <c r="J2754">
        <v>0</v>
      </c>
      <c r="K2754">
        <v>0</v>
      </c>
      <c r="L2754">
        <v>0</v>
      </c>
    </row>
    <row r="2755" spans="1:12" x14ac:dyDescent="0.25">
      <c r="A2755" t="str">
        <f t="shared" si="42"/>
        <v>1001003090012026M04</v>
      </c>
      <c r="B2755">
        <v>51321001</v>
      </c>
      <c r="C2755">
        <v>30</v>
      </c>
      <c r="D2755">
        <v>100100</v>
      </c>
      <c r="E2755">
        <v>309001</v>
      </c>
      <c r="F2755" t="s">
        <v>115</v>
      </c>
      <c r="G2755" t="s">
        <v>66</v>
      </c>
      <c r="H2755">
        <v>0</v>
      </c>
      <c r="I2755">
        <v>0</v>
      </c>
      <c r="J2755">
        <v>0</v>
      </c>
      <c r="K2755">
        <v>0</v>
      </c>
      <c r="L2755">
        <v>0</v>
      </c>
    </row>
    <row r="2756" spans="1:12" x14ac:dyDescent="0.25">
      <c r="A2756" t="str">
        <f t="shared" si="42"/>
        <v>1001003090012026M05</v>
      </c>
      <c r="B2756">
        <v>51321001</v>
      </c>
      <c r="C2756">
        <v>30</v>
      </c>
      <c r="D2756">
        <v>100100</v>
      </c>
      <c r="E2756">
        <v>309001</v>
      </c>
      <c r="F2756" t="s">
        <v>115</v>
      </c>
      <c r="G2756" t="s">
        <v>67</v>
      </c>
      <c r="H2756">
        <v>197193.08</v>
      </c>
      <c r="I2756">
        <v>197193.08</v>
      </c>
      <c r="J2756">
        <v>0</v>
      </c>
      <c r="K2756">
        <v>0</v>
      </c>
      <c r="L2756">
        <v>0</v>
      </c>
    </row>
    <row r="2757" spans="1:12" x14ac:dyDescent="0.25">
      <c r="A2757" t="str">
        <f t="shared" si="42"/>
        <v>1001003090012026M06</v>
      </c>
      <c r="B2757">
        <v>51321001</v>
      </c>
      <c r="C2757">
        <v>30</v>
      </c>
      <c r="D2757">
        <v>100100</v>
      </c>
      <c r="E2757">
        <v>309001</v>
      </c>
      <c r="F2757" t="s">
        <v>115</v>
      </c>
      <c r="G2757" t="s">
        <v>68</v>
      </c>
      <c r="H2757">
        <v>49298.27</v>
      </c>
      <c r="I2757">
        <v>49298.27</v>
      </c>
      <c r="J2757">
        <v>0</v>
      </c>
      <c r="K2757">
        <v>0</v>
      </c>
      <c r="L2757">
        <v>0</v>
      </c>
    </row>
    <row r="2758" spans="1:12" x14ac:dyDescent="0.25">
      <c r="A2758" t="str">
        <f t="shared" si="42"/>
        <v>1001003090012026M07</v>
      </c>
      <c r="B2758">
        <v>51321001</v>
      </c>
      <c r="C2758">
        <v>30</v>
      </c>
      <c r="D2758">
        <v>100100</v>
      </c>
      <c r="E2758">
        <v>309001</v>
      </c>
      <c r="F2758" t="s">
        <v>115</v>
      </c>
      <c r="G2758" t="s">
        <v>69</v>
      </c>
      <c r="H2758">
        <v>49298.27</v>
      </c>
      <c r="I2758">
        <v>49298.27</v>
      </c>
      <c r="J2758">
        <v>0</v>
      </c>
      <c r="K2758">
        <v>0</v>
      </c>
      <c r="L2758">
        <v>0</v>
      </c>
    </row>
    <row r="2759" spans="1:12" x14ac:dyDescent="0.25">
      <c r="A2759" t="str">
        <f t="shared" si="42"/>
        <v>1001003090012026M08</v>
      </c>
      <c r="B2759">
        <v>51321001</v>
      </c>
      <c r="C2759">
        <v>30</v>
      </c>
      <c r="D2759">
        <v>100100</v>
      </c>
      <c r="E2759">
        <v>309001</v>
      </c>
      <c r="F2759" t="s">
        <v>115</v>
      </c>
      <c r="G2759" t="s">
        <v>70</v>
      </c>
      <c r="H2759">
        <v>49298.27</v>
      </c>
      <c r="I2759">
        <v>49298.27</v>
      </c>
      <c r="J2759">
        <v>0</v>
      </c>
      <c r="K2759">
        <v>0</v>
      </c>
      <c r="L2759">
        <v>0</v>
      </c>
    </row>
    <row r="2760" spans="1:12" x14ac:dyDescent="0.25">
      <c r="A2760" t="str">
        <f t="shared" si="42"/>
        <v>1001003090012026M09</v>
      </c>
      <c r="B2760">
        <v>51321001</v>
      </c>
      <c r="C2760">
        <v>30</v>
      </c>
      <c r="D2760">
        <v>100100</v>
      </c>
      <c r="E2760">
        <v>309001</v>
      </c>
      <c r="F2760" t="s">
        <v>115</v>
      </c>
      <c r="G2760" t="s">
        <v>71</v>
      </c>
      <c r="H2760">
        <v>49298.27</v>
      </c>
      <c r="I2760">
        <v>49298.27</v>
      </c>
      <c r="J2760">
        <v>0</v>
      </c>
      <c r="K2760">
        <v>0</v>
      </c>
      <c r="L2760">
        <v>0</v>
      </c>
    </row>
    <row r="2761" spans="1:12" x14ac:dyDescent="0.25">
      <c r="A2761" t="str">
        <f t="shared" si="42"/>
        <v>1001003090012026M10</v>
      </c>
      <c r="B2761">
        <v>51321001</v>
      </c>
      <c r="C2761">
        <v>30</v>
      </c>
      <c r="D2761">
        <v>100100</v>
      </c>
      <c r="E2761">
        <v>309001</v>
      </c>
      <c r="F2761" t="s">
        <v>115</v>
      </c>
      <c r="G2761" t="s">
        <v>72</v>
      </c>
      <c r="H2761">
        <v>49313.84</v>
      </c>
      <c r="I2761">
        <v>0</v>
      </c>
      <c r="J2761">
        <v>49313.84</v>
      </c>
      <c r="K2761">
        <v>0</v>
      </c>
      <c r="L2761">
        <v>0</v>
      </c>
    </row>
    <row r="2762" spans="1:12" x14ac:dyDescent="0.25">
      <c r="A2762" t="str">
        <f t="shared" si="42"/>
        <v>1001003090012026M11</v>
      </c>
      <c r="B2762">
        <v>51321001</v>
      </c>
      <c r="C2762">
        <v>30</v>
      </c>
      <c r="D2762">
        <v>100100</v>
      </c>
      <c r="E2762">
        <v>309001</v>
      </c>
      <c r="F2762" t="s">
        <v>115</v>
      </c>
      <c r="G2762" t="s">
        <v>73</v>
      </c>
      <c r="H2762">
        <v>49300</v>
      </c>
      <c r="I2762">
        <v>0</v>
      </c>
      <c r="J2762">
        <v>49300</v>
      </c>
      <c r="K2762">
        <v>0</v>
      </c>
      <c r="L2762">
        <v>0</v>
      </c>
    </row>
    <row r="2763" spans="1:12" x14ac:dyDescent="0.25">
      <c r="A2763" t="str">
        <f t="shared" ref="A2763:A2826" si="43">D2763&amp;E2763&amp;G2763</f>
        <v>1001003090012026M12</v>
      </c>
      <c r="B2763">
        <v>51321001</v>
      </c>
      <c r="C2763">
        <v>30</v>
      </c>
      <c r="D2763">
        <v>100100</v>
      </c>
      <c r="E2763">
        <v>309001</v>
      </c>
      <c r="F2763" t="s">
        <v>115</v>
      </c>
      <c r="G2763" t="s">
        <v>74</v>
      </c>
      <c r="H2763">
        <v>98600</v>
      </c>
      <c r="I2763">
        <v>0</v>
      </c>
      <c r="J2763">
        <v>98600</v>
      </c>
      <c r="K2763">
        <v>0</v>
      </c>
      <c r="L2763">
        <v>0</v>
      </c>
    </row>
    <row r="2764" spans="1:12" x14ac:dyDescent="0.25">
      <c r="A2764" t="str">
        <f t="shared" si="43"/>
        <v>9001103091012026M02</v>
      </c>
      <c r="B2764">
        <v>51321001</v>
      </c>
      <c r="C2764">
        <v>30</v>
      </c>
      <c r="D2764">
        <v>900110</v>
      </c>
      <c r="E2764">
        <v>309101</v>
      </c>
      <c r="F2764" t="s">
        <v>115</v>
      </c>
      <c r="G2764" t="s">
        <v>64</v>
      </c>
      <c r="H2764">
        <v>0</v>
      </c>
      <c r="I2764">
        <v>0</v>
      </c>
      <c r="J2764">
        <v>0</v>
      </c>
      <c r="K2764">
        <v>0</v>
      </c>
      <c r="L2764">
        <v>0</v>
      </c>
    </row>
    <row r="2765" spans="1:12" x14ac:dyDescent="0.25">
      <c r="A2765" t="str">
        <f t="shared" si="43"/>
        <v>9001103091012026M03</v>
      </c>
      <c r="B2765">
        <v>51321001</v>
      </c>
      <c r="C2765">
        <v>30</v>
      </c>
      <c r="D2765">
        <v>900110</v>
      </c>
      <c r="E2765">
        <v>309101</v>
      </c>
      <c r="F2765" t="s">
        <v>115</v>
      </c>
      <c r="G2765" t="s">
        <v>65</v>
      </c>
      <c r="H2765">
        <v>286700.82</v>
      </c>
      <c r="I2765">
        <v>286700.82</v>
      </c>
      <c r="J2765">
        <v>0</v>
      </c>
      <c r="K2765">
        <v>0</v>
      </c>
      <c r="L2765">
        <v>0</v>
      </c>
    </row>
    <row r="2766" spans="1:12" x14ac:dyDescent="0.25">
      <c r="A2766" t="str">
        <f t="shared" si="43"/>
        <v>9001103091012026M04</v>
      </c>
      <c r="B2766">
        <v>51321001</v>
      </c>
      <c r="C2766">
        <v>30</v>
      </c>
      <c r="D2766">
        <v>900110</v>
      </c>
      <c r="E2766">
        <v>309101</v>
      </c>
      <c r="F2766" t="s">
        <v>115</v>
      </c>
      <c r="G2766" t="s">
        <v>66</v>
      </c>
      <c r="H2766">
        <v>143350.41</v>
      </c>
      <c r="I2766">
        <v>143350.41</v>
      </c>
      <c r="J2766">
        <v>0</v>
      </c>
      <c r="K2766">
        <v>0</v>
      </c>
      <c r="L2766">
        <v>0</v>
      </c>
    </row>
    <row r="2767" spans="1:12" x14ac:dyDescent="0.25">
      <c r="A2767" t="str">
        <f t="shared" si="43"/>
        <v>9001103091012026M05</v>
      </c>
      <c r="B2767">
        <v>51321001</v>
      </c>
      <c r="C2767">
        <v>30</v>
      </c>
      <c r="D2767">
        <v>900110</v>
      </c>
      <c r="E2767">
        <v>309101</v>
      </c>
      <c r="F2767" t="s">
        <v>115</v>
      </c>
      <c r="G2767" t="s">
        <v>67</v>
      </c>
      <c r="H2767">
        <v>143350.41</v>
      </c>
      <c r="I2767">
        <v>143350.41</v>
      </c>
      <c r="J2767">
        <v>0</v>
      </c>
      <c r="K2767">
        <v>0</v>
      </c>
      <c r="L2767">
        <v>0</v>
      </c>
    </row>
    <row r="2768" spans="1:12" x14ac:dyDescent="0.25">
      <c r="A2768" t="str">
        <f t="shared" si="43"/>
        <v>9001103091012026M06</v>
      </c>
      <c r="B2768">
        <v>51321001</v>
      </c>
      <c r="C2768">
        <v>30</v>
      </c>
      <c r="D2768">
        <v>900110</v>
      </c>
      <c r="E2768">
        <v>309101</v>
      </c>
      <c r="F2768" t="s">
        <v>115</v>
      </c>
      <c r="G2768" t="s">
        <v>68</v>
      </c>
      <c r="H2768">
        <v>143350.41</v>
      </c>
      <c r="I2768">
        <v>143350.41</v>
      </c>
      <c r="J2768">
        <v>0</v>
      </c>
      <c r="K2768">
        <v>0</v>
      </c>
      <c r="L2768">
        <v>0</v>
      </c>
    </row>
    <row r="2769" spans="1:12" x14ac:dyDescent="0.25">
      <c r="A2769" t="str">
        <f t="shared" si="43"/>
        <v>9001103091012026M07</v>
      </c>
      <c r="B2769">
        <v>51321001</v>
      </c>
      <c r="C2769">
        <v>30</v>
      </c>
      <c r="D2769">
        <v>900110</v>
      </c>
      <c r="E2769">
        <v>309101</v>
      </c>
      <c r="F2769" t="s">
        <v>115</v>
      </c>
      <c r="G2769" t="s">
        <v>69</v>
      </c>
      <c r="H2769">
        <v>143350.41</v>
      </c>
      <c r="I2769">
        <v>143350.41</v>
      </c>
      <c r="J2769">
        <v>0</v>
      </c>
      <c r="K2769">
        <v>0</v>
      </c>
      <c r="L2769">
        <v>0</v>
      </c>
    </row>
    <row r="2770" spans="1:12" x14ac:dyDescent="0.25">
      <c r="A2770" t="str">
        <f t="shared" si="43"/>
        <v>9001103091012026M08</v>
      </c>
      <c r="B2770">
        <v>51321001</v>
      </c>
      <c r="C2770">
        <v>30</v>
      </c>
      <c r="D2770">
        <v>900110</v>
      </c>
      <c r="E2770">
        <v>309101</v>
      </c>
      <c r="F2770" t="s">
        <v>115</v>
      </c>
      <c r="G2770" t="s">
        <v>70</v>
      </c>
      <c r="H2770">
        <v>143350.41</v>
      </c>
      <c r="I2770">
        <v>143350.41</v>
      </c>
      <c r="J2770">
        <v>0</v>
      </c>
      <c r="K2770">
        <v>0</v>
      </c>
      <c r="L2770">
        <v>0</v>
      </c>
    </row>
    <row r="2771" spans="1:12" x14ac:dyDescent="0.25">
      <c r="A2771" t="str">
        <f t="shared" si="43"/>
        <v>9001103091012026M09</v>
      </c>
      <c r="B2771">
        <v>51321001</v>
      </c>
      <c r="C2771">
        <v>30</v>
      </c>
      <c r="D2771">
        <v>900110</v>
      </c>
      <c r="E2771">
        <v>309101</v>
      </c>
      <c r="F2771" t="s">
        <v>115</v>
      </c>
      <c r="G2771" t="s">
        <v>71</v>
      </c>
      <c r="H2771">
        <v>143350.41</v>
      </c>
      <c r="I2771">
        <v>143350.41</v>
      </c>
      <c r="J2771">
        <v>0</v>
      </c>
      <c r="K2771">
        <v>0</v>
      </c>
      <c r="L2771">
        <v>0</v>
      </c>
    </row>
    <row r="2772" spans="1:12" x14ac:dyDescent="0.25">
      <c r="A2772" t="str">
        <f t="shared" si="43"/>
        <v>9001103091012026M10</v>
      </c>
      <c r="B2772">
        <v>51321001</v>
      </c>
      <c r="C2772">
        <v>30</v>
      </c>
      <c r="D2772">
        <v>900110</v>
      </c>
      <c r="E2772">
        <v>309101</v>
      </c>
      <c r="F2772" t="s">
        <v>115</v>
      </c>
      <c r="G2772" t="s">
        <v>72</v>
      </c>
      <c r="H2772">
        <v>143355.72</v>
      </c>
      <c r="I2772">
        <v>0</v>
      </c>
      <c r="J2772">
        <v>143351.04000000001</v>
      </c>
      <c r="K2772">
        <v>0</v>
      </c>
      <c r="L2772">
        <v>4.68</v>
      </c>
    </row>
    <row r="2773" spans="1:12" x14ac:dyDescent="0.25">
      <c r="A2773" t="str">
        <f t="shared" si="43"/>
        <v>9001103091012026M11</v>
      </c>
      <c r="B2773">
        <v>51321001</v>
      </c>
      <c r="C2773">
        <v>30</v>
      </c>
      <c r="D2773">
        <v>900110</v>
      </c>
      <c r="E2773">
        <v>309101</v>
      </c>
      <c r="F2773" t="s">
        <v>115</v>
      </c>
      <c r="G2773" t="s">
        <v>73</v>
      </c>
      <c r="H2773">
        <v>143351</v>
      </c>
      <c r="I2773">
        <v>0</v>
      </c>
      <c r="J2773">
        <v>143350.48000000001</v>
      </c>
      <c r="K2773">
        <v>0</v>
      </c>
      <c r="L2773">
        <v>0.52</v>
      </c>
    </row>
    <row r="2774" spans="1:12" x14ac:dyDescent="0.25">
      <c r="A2774" t="str">
        <f t="shared" si="43"/>
        <v>9001103091012026M12</v>
      </c>
      <c r="B2774">
        <v>51321001</v>
      </c>
      <c r="C2774">
        <v>30</v>
      </c>
      <c r="D2774">
        <v>900110</v>
      </c>
      <c r="E2774">
        <v>309101</v>
      </c>
      <c r="F2774" t="s">
        <v>115</v>
      </c>
      <c r="G2774" t="s">
        <v>74</v>
      </c>
      <c r="H2774">
        <v>286700.96000000002</v>
      </c>
      <c r="I2774">
        <v>0</v>
      </c>
      <c r="J2774">
        <v>286700.96000000002</v>
      </c>
      <c r="K2774">
        <v>0</v>
      </c>
      <c r="L2774">
        <v>0</v>
      </c>
    </row>
    <row r="2775" spans="1:12" x14ac:dyDescent="0.25">
      <c r="A2775" t="str">
        <f t="shared" si="43"/>
        <v>7310031P9012026M02</v>
      </c>
      <c r="B2775">
        <v>51321001</v>
      </c>
      <c r="C2775">
        <v>31</v>
      </c>
      <c r="D2775">
        <v>73100</v>
      </c>
      <c r="E2775" t="s">
        <v>87</v>
      </c>
      <c r="F2775" t="s">
        <v>115</v>
      </c>
      <c r="G2775" t="s">
        <v>64</v>
      </c>
      <c r="H2775">
        <v>17877.97</v>
      </c>
      <c r="I2775">
        <v>17877.97</v>
      </c>
      <c r="J2775">
        <v>0</v>
      </c>
      <c r="K2775">
        <v>0</v>
      </c>
      <c r="L2775">
        <v>0</v>
      </c>
    </row>
    <row r="2776" spans="1:12" x14ac:dyDescent="0.25">
      <c r="A2776" t="str">
        <f t="shared" si="43"/>
        <v>7310031P9012026M03</v>
      </c>
      <c r="B2776">
        <v>51321001</v>
      </c>
      <c r="C2776">
        <v>31</v>
      </c>
      <c r="D2776">
        <v>73100</v>
      </c>
      <c r="E2776" t="s">
        <v>87</v>
      </c>
      <c r="F2776" t="s">
        <v>115</v>
      </c>
      <c r="G2776" t="s">
        <v>65</v>
      </c>
      <c r="H2776">
        <v>17877.97</v>
      </c>
      <c r="I2776">
        <v>17877.97</v>
      </c>
      <c r="J2776">
        <v>0</v>
      </c>
      <c r="K2776">
        <v>0</v>
      </c>
      <c r="L2776">
        <v>0</v>
      </c>
    </row>
    <row r="2777" spans="1:12" x14ac:dyDescent="0.25">
      <c r="A2777" t="str">
        <f t="shared" si="43"/>
        <v>7310031P9012026M04</v>
      </c>
      <c r="B2777">
        <v>51321001</v>
      </c>
      <c r="C2777">
        <v>31</v>
      </c>
      <c r="D2777">
        <v>73100</v>
      </c>
      <c r="E2777" t="s">
        <v>87</v>
      </c>
      <c r="F2777" t="s">
        <v>115</v>
      </c>
      <c r="G2777" t="s">
        <v>66</v>
      </c>
      <c r="H2777">
        <v>17877.97</v>
      </c>
      <c r="I2777">
        <v>17877.97</v>
      </c>
      <c r="J2777">
        <v>0</v>
      </c>
      <c r="K2777">
        <v>0</v>
      </c>
      <c r="L2777">
        <v>0</v>
      </c>
    </row>
    <row r="2778" spans="1:12" x14ac:dyDescent="0.25">
      <c r="A2778" t="str">
        <f t="shared" si="43"/>
        <v>7310031P9012026M05</v>
      </c>
      <c r="B2778">
        <v>51321001</v>
      </c>
      <c r="C2778">
        <v>31</v>
      </c>
      <c r="D2778">
        <v>73100</v>
      </c>
      <c r="E2778" t="s">
        <v>87</v>
      </c>
      <c r="F2778" t="s">
        <v>115</v>
      </c>
      <c r="G2778" t="s">
        <v>67</v>
      </c>
      <c r="H2778">
        <v>17877.97</v>
      </c>
      <c r="I2778">
        <v>17877.97</v>
      </c>
      <c r="J2778">
        <v>0</v>
      </c>
      <c r="K2778">
        <v>0</v>
      </c>
      <c r="L2778">
        <v>0</v>
      </c>
    </row>
    <row r="2779" spans="1:12" x14ac:dyDescent="0.25">
      <c r="A2779" t="str">
        <f t="shared" si="43"/>
        <v>7310031P9012026M06</v>
      </c>
      <c r="B2779">
        <v>51321001</v>
      </c>
      <c r="C2779">
        <v>31</v>
      </c>
      <c r="D2779">
        <v>73100</v>
      </c>
      <c r="E2779" t="s">
        <v>87</v>
      </c>
      <c r="F2779" t="s">
        <v>115</v>
      </c>
      <c r="G2779" t="s">
        <v>68</v>
      </c>
      <c r="H2779">
        <v>17877.97</v>
      </c>
      <c r="I2779">
        <v>17877.97</v>
      </c>
      <c r="J2779">
        <v>0</v>
      </c>
      <c r="K2779">
        <v>0</v>
      </c>
      <c r="L2779">
        <v>0</v>
      </c>
    </row>
    <row r="2780" spans="1:12" x14ac:dyDescent="0.25">
      <c r="A2780" t="str">
        <f t="shared" si="43"/>
        <v>7310031P9012026M07</v>
      </c>
      <c r="B2780">
        <v>51321001</v>
      </c>
      <c r="C2780">
        <v>31</v>
      </c>
      <c r="D2780">
        <v>73100</v>
      </c>
      <c r="E2780" t="s">
        <v>87</v>
      </c>
      <c r="F2780" t="s">
        <v>115</v>
      </c>
      <c r="G2780" t="s">
        <v>69</v>
      </c>
      <c r="H2780">
        <v>17877.97</v>
      </c>
      <c r="I2780">
        <v>17877.97</v>
      </c>
      <c r="J2780">
        <v>0</v>
      </c>
      <c r="K2780">
        <v>0</v>
      </c>
      <c r="L2780">
        <v>0</v>
      </c>
    </row>
    <row r="2781" spans="1:12" x14ac:dyDescent="0.25">
      <c r="A2781" t="str">
        <f t="shared" si="43"/>
        <v>7310031P9012026M08</v>
      </c>
      <c r="B2781">
        <v>51321001</v>
      </c>
      <c r="C2781">
        <v>31</v>
      </c>
      <c r="D2781">
        <v>73100</v>
      </c>
      <c r="E2781" t="s">
        <v>87</v>
      </c>
      <c r="F2781" t="s">
        <v>115</v>
      </c>
      <c r="G2781" t="s">
        <v>70</v>
      </c>
      <c r="H2781">
        <v>17877.97</v>
      </c>
      <c r="I2781">
        <v>17877.97</v>
      </c>
      <c r="J2781">
        <v>0</v>
      </c>
      <c r="K2781">
        <v>0</v>
      </c>
      <c r="L2781">
        <v>0</v>
      </c>
    </row>
    <row r="2782" spans="1:12" x14ac:dyDescent="0.25">
      <c r="A2782" t="str">
        <f t="shared" si="43"/>
        <v>7310031P9012026M09</v>
      </c>
      <c r="B2782">
        <v>51321001</v>
      </c>
      <c r="C2782">
        <v>31</v>
      </c>
      <c r="D2782">
        <v>73100</v>
      </c>
      <c r="E2782" t="s">
        <v>87</v>
      </c>
      <c r="F2782" t="s">
        <v>115</v>
      </c>
      <c r="G2782" t="s">
        <v>71</v>
      </c>
      <c r="H2782">
        <v>17877.97</v>
      </c>
      <c r="I2782">
        <v>17877.97</v>
      </c>
      <c r="J2782">
        <v>0</v>
      </c>
      <c r="K2782">
        <v>0</v>
      </c>
      <c r="L2782">
        <v>0</v>
      </c>
    </row>
    <row r="2783" spans="1:12" x14ac:dyDescent="0.25">
      <c r="A2783" t="str">
        <f t="shared" si="43"/>
        <v>7310031P9012026M10</v>
      </c>
      <c r="B2783">
        <v>51321001</v>
      </c>
      <c r="C2783">
        <v>31</v>
      </c>
      <c r="D2783">
        <v>73100</v>
      </c>
      <c r="E2783" t="s">
        <v>87</v>
      </c>
      <c r="F2783" t="s">
        <v>115</v>
      </c>
      <c r="G2783" t="s">
        <v>72</v>
      </c>
      <c r="H2783">
        <v>17878.240000000002</v>
      </c>
      <c r="I2783">
        <v>17877.97</v>
      </c>
      <c r="J2783">
        <v>0.27</v>
      </c>
      <c r="K2783">
        <v>0</v>
      </c>
      <c r="L2783">
        <v>0</v>
      </c>
    </row>
    <row r="2784" spans="1:12" x14ac:dyDescent="0.25">
      <c r="A2784" t="str">
        <f t="shared" si="43"/>
        <v>7310031P9012026M11</v>
      </c>
      <c r="B2784">
        <v>51321001</v>
      </c>
      <c r="C2784">
        <v>31</v>
      </c>
      <c r="D2784">
        <v>73100</v>
      </c>
      <c r="E2784" t="s">
        <v>87</v>
      </c>
      <c r="F2784" t="s">
        <v>115</v>
      </c>
      <c r="G2784" t="s">
        <v>73</v>
      </c>
      <c r="H2784">
        <v>17878</v>
      </c>
      <c r="I2784">
        <v>0</v>
      </c>
      <c r="J2784">
        <v>17878</v>
      </c>
      <c r="K2784">
        <v>0</v>
      </c>
      <c r="L2784">
        <v>0</v>
      </c>
    </row>
    <row r="2785" spans="1:12" x14ac:dyDescent="0.25">
      <c r="A2785" t="str">
        <f t="shared" si="43"/>
        <v>7310031P9012026M12</v>
      </c>
      <c r="B2785">
        <v>51321001</v>
      </c>
      <c r="C2785">
        <v>31</v>
      </c>
      <c r="D2785">
        <v>73100</v>
      </c>
      <c r="E2785" t="s">
        <v>87</v>
      </c>
      <c r="F2785" t="s">
        <v>115</v>
      </c>
      <c r="G2785" t="s">
        <v>74</v>
      </c>
      <c r="H2785">
        <v>35756</v>
      </c>
      <c r="I2785">
        <v>0</v>
      </c>
      <c r="J2785">
        <v>35756</v>
      </c>
      <c r="K2785">
        <v>0</v>
      </c>
      <c r="L2785">
        <v>0</v>
      </c>
    </row>
    <row r="2786" spans="1:12" x14ac:dyDescent="0.25">
      <c r="A2786" t="str">
        <f t="shared" si="43"/>
        <v>731103193022026M02</v>
      </c>
      <c r="B2786">
        <v>51321001</v>
      </c>
      <c r="C2786">
        <v>31</v>
      </c>
      <c r="D2786">
        <v>73110</v>
      </c>
      <c r="E2786">
        <v>319302</v>
      </c>
      <c r="F2786" t="s">
        <v>115</v>
      </c>
      <c r="G2786" t="s">
        <v>64</v>
      </c>
      <c r="H2786">
        <v>0</v>
      </c>
      <c r="I2786">
        <v>0</v>
      </c>
      <c r="J2786">
        <v>0</v>
      </c>
      <c r="K2786">
        <v>0</v>
      </c>
      <c r="L2786">
        <v>0</v>
      </c>
    </row>
    <row r="2787" spans="1:12" x14ac:dyDescent="0.25">
      <c r="A2787" t="str">
        <f t="shared" si="43"/>
        <v>731103193022026M03</v>
      </c>
      <c r="B2787">
        <v>51321001</v>
      </c>
      <c r="C2787">
        <v>31</v>
      </c>
      <c r="D2787">
        <v>73110</v>
      </c>
      <c r="E2787">
        <v>319302</v>
      </c>
      <c r="F2787" t="s">
        <v>115</v>
      </c>
      <c r="G2787" t="s">
        <v>65</v>
      </c>
      <c r="H2787">
        <v>32016</v>
      </c>
      <c r="I2787">
        <v>32016</v>
      </c>
      <c r="J2787">
        <v>0</v>
      </c>
      <c r="K2787">
        <v>0</v>
      </c>
      <c r="L2787">
        <v>0</v>
      </c>
    </row>
    <row r="2788" spans="1:12" x14ac:dyDescent="0.25">
      <c r="A2788" t="str">
        <f t="shared" si="43"/>
        <v>731103193022026M04</v>
      </c>
      <c r="B2788">
        <v>51321001</v>
      </c>
      <c r="C2788">
        <v>31</v>
      </c>
      <c r="D2788">
        <v>73110</v>
      </c>
      <c r="E2788">
        <v>319302</v>
      </c>
      <c r="F2788" t="s">
        <v>115</v>
      </c>
      <c r="G2788" t="s">
        <v>66</v>
      </c>
      <c r="H2788">
        <v>0</v>
      </c>
      <c r="I2788">
        <v>0</v>
      </c>
      <c r="J2788">
        <v>0</v>
      </c>
      <c r="K2788">
        <v>0</v>
      </c>
      <c r="L2788">
        <v>0</v>
      </c>
    </row>
    <row r="2789" spans="1:12" x14ac:dyDescent="0.25">
      <c r="A2789" t="str">
        <f t="shared" si="43"/>
        <v>731103193022026M05</v>
      </c>
      <c r="B2789">
        <v>51321001</v>
      </c>
      <c r="C2789">
        <v>31</v>
      </c>
      <c r="D2789">
        <v>73110</v>
      </c>
      <c r="E2789">
        <v>319302</v>
      </c>
      <c r="F2789" t="s">
        <v>115</v>
      </c>
      <c r="G2789" t="s">
        <v>67</v>
      </c>
      <c r="H2789">
        <v>32016</v>
      </c>
      <c r="I2789">
        <v>32016</v>
      </c>
      <c r="J2789">
        <v>0</v>
      </c>
      <c r="K2789">
        <v>0</v>
      </c>
      <c r="L2789">
        <v>0</v>
      </c>
    </row>
    <row r="2790" spans="1:12" x14ac:dyDescent="0.25">
      <c r="A2790" t="str">
        <f t="shared" si="43"/>
        <v>731103193022026M06</v>
      </c>
      <c r="B2790">
        <v>51321001</v>
      </c>
      <c r="C2790">
        <v>31</v>
      </c>
      <c r="D2790">
        <v>73110</v>
      </c>
      <c r="E2790">
        <v>319302</v>
      </c>
      <c r="F2790" t="s">
        <v>115</v>
      </c>
      <c r="G2790" t="s">
        <v>68</v>
      </c>
      <c r="H2790">
        <v>0</v>
      </c>
      <c r="I2790">
        <v>0</v>
      </c>
      <c r="J2790">
        <v>0</v>
      </c>
      <c r="K2790">
        <v>0</v>
      </c>
      <c r="L2790">
        <v>0</v>
      </c>
    </row>
    <row r="2791" spans="1:12" x14ac:dyDescent="0.25">
      <c r="A2791" t="str">
        <f t="shared" si="43"/>
        <v>731103193022026M07</v>
      </c>
      <c r="B2791">
        <v>51321001</v>
      </c>
      <c r="C2791">
        <v>31</v>
      </c>
      <c r="D2791">
        <v>73110</v>
      </c>
      <c r="E2791">
        <v>319302</v>
      </c>
      <c r="F2791" t="s">
        <v>115</v>
      </c>
      <c r="G2791" t="s">
        <v>69</v>
      </c>
      <c r="H2791">
        <v>32016</v>
      </c>
      <c r="I2791">
        <v>32016</v>
      </c>
      <c r="J2791">
        <v>0</v>
      </c>
      <c r="K2791">
        <v>0</v>
      </c>
      <c r="L2791">
        <v>0</v>
      </c>
    </row>
    <row r="2792" spans="1:12" x14ac:dyDescent="0.25">
      <c r="A2792" t="str">
        <f t="shared" si="43"/>
        <v>731103193022026M08</v>
      </c>
      <c r="B2792">
        <v>51321001</v>
      </c>
      <c r="C2792">
        <v>31</v>
      </c>
      <c r="D2792">
        <v>73110</v>
      </c>
      <c r="E2792">
        <v>319302</v>
      </c>
      <c r="F2792" t="s">
        <v>115</v>
      </c>
      <c r="G2792" t="s">
        <v>70</v>
      </c>
      <c r="H2792">
        <v>16008</v>
      </c>
      <c r="I2792">
        <v>16008</v>
      </c>
      <c r="J2792">
        <v>0</v>
      </c>
      <c r="K2792">
        <v>0</v>
      </c>
      <c r="L2792">
        <v>0</v>
      </c>
    </row>
    <row r="2793" spans="1:12" x14ac:dyDescent="0.25">
      <c r="A2793" t="str">
        <f t="shared" si="43"/>
        <v>731103193022026M09</v>
      </c>
      <c r="B2793">
        <v>51321001</v>
      </c>
      <c r="C2793">
        <v>31</v>
      </c>
      <c r="D2793">
        <v>73110</v>
      </c>
      <c r="E2793">
        <v>319302</v>
      </c>
      <c r="F2793" t="s">
        <v>115</v>
      </c>
      <c r="G2793" t="s">
        <v>71</v>
      </c>
      <c r="H2793">
        <v>16008</v>
      </c>
      <c r="I2793">
        <v>16008</v>
      </c>
      <c r="J2793">
        <v>0</v>
      </c>
      <c r="K2793">
        <v>0</v>
      </c>
      <c r="L2793">
        <v>0</v>
      </c>
    </row>
    <row r="2794" spans="1:12" x14ac:dyDescent="0.25">
      <c r="A2794" t="str">
        <f t="shared" si="43"/>
        <v>731103193022026M10</v>
      </c>
      <c r="B2794">
        <v>51321001</v>
      </c>
      <c r="C2794">
        <v>31</v>
      </c>
      <c r="D2794">
        <v>73110</v>
      </c>
      <c r="E2794">
        <v>319302</v>
      </c>
      <c r="F2794" t="s">
        <v>115</v>
      </c>
      <c r="G2794" t="s">
        <v>72</v>
      </c>
      <c r="H2794">
        <v>16008</v>
      </c>
      <c r="I2794">
        <v>16007.99</v>
      </c>
      <c r="J2794">
        <v>0.01</v>
      </c>
      <c r="K2794">
        <v>0</v>
      </c>
      <c r="L2794">
        <v>0</v>
      </c>
    </row>
    <row r="2795" spans="1:12" x14ac:dyDescent="0.25">
      <c r="A2795" t="str">
        <f t="shared" si="43"/>
        <v>731103193022026M11</v>
      </c>
      <c r="B2795">
        <v>51321001</v>
      </c>
      <c r="C2795">
        <v>31</v>
      </c>
      <c r="D2795">
        <v>73110</v>
      </c>
      <c r="E2795">
        <v>319302</v>
      </c>
      <c r="F2795" t="s">
        <v>115</v>
      </c>
      <c r="G2795" t="s">
        <v>73</v>
      </c>
      <c r="H2795">
        <v>16008</v>
      </c>
      <c r="I2795">
        <v>0</v>
      </c>
      <c r="J2795">
        <v>16008</v>
      </c>
      <c r="K2795">
        <v>0</v>
      </c>
      <c r="L2795">
        <v>0</v>
      </c>
    </row>
    <row r="2796" spans="1:12" x14ac:dyDescent="0.25">
      <c r="A2796" t="str">
        <f t="shared" si="43"/>
        <v>731103193022026M12</v>
      </c>
      <c r="B2796">
        <v>51321001</v>
      </c>
      <c r="C2796">
        <v>31</v>
      </c>
      <c r="D2796">
        <v>73110</v>
      </c>
      <c r="E2796">
        <v>319302</v>
      </c>
      <c r="F2796" t="s">
        <v>115</v>
      </c>
      <c r="G2796" t="s">
        <v>74</v>
      </c>
      <c r="H2796">
        <v>32016</v>
      </c>
      <c r="I2796">
        <v>0</v>
      </c>
      <c r="J2796">
        <v>32016</v>
      </c>
      <c r="K2796">
        <v>0</v>
      </c>
      <c r="L2796">
        <v>0</v>
      </c>
    </row>
    <row r="2797" spans="1:12" x14ac:dyDescent="0.25">
      <c r="A2797" t="str">
        <f t="shared" si="43"/>
        <v>1009023124012026M02</v>
      </c>
      <c r="B2797">
        <v>51321001</v>
      </c>
      <c r="C2797">
        <v>31</v>
      </c>
      <c r="D2797">
        <v>100902</v>
      </c>
      <c r="E2797">
        <v>312401</v>
      </c>
      <c r="F2797" t="s">
        <v>115</v>
      </c>
      <c r="G2797" t="s">
        <v>64</v>
      </c>
      <c r="H2797">
        <v>0</v>
      </c>
      <c r="I2797">
        <v>0</v>
      </c>
      <c r="J2797">
        <v>0</v>
      </c>
      <c r="K2797">
        <v>0</v>
      </c>
      <c r="L2797">
        <v>0</v>
      </c>
    </row>
    <row r="2798" spans="1:12" x14ac:dyDescent="0.25">
      <c r="A2798" t="str">
        <f t="shared" si="43"/>
        <v>1009023124012026M03</v>
      </c>
      <c r="B2798">
        <v>51321001</v>
      </c>
      <c r="C2798">
        <v>31</v>
      </c>
      <c r="D2798">
        <v>100902</v>
      </c>
      <c r="E2798">
        <v>312401</v>
      </c>
      <c r="F2798" t="s">
        <v>115</v>
      </c>
      <c r="G2798" t="s">
        <v>65</v>
      </c>
      <c r="H2798">
        <v>46399.99</v>
      </c>
      <c r="I2798">
        <v>46399.99</v>
      </c>
      <c r="J2798">
        <v>0</v>
      </c>
      <c r="K2798">
        <v>0</v>
      </c>
      <c r="L2798">
        <v>0</v>
      </c>
    </row>
    <row r="2799" spans="1:12" x14ac:dyDescent="0.25">
      <c r="A2799" t="str">
        <f t="shared" si="43"/>
        <v>1009023124012026M04</v>
      </c>
      <c r="B2799">
        <v>51321001</v>
      </c>
      <c r="C2799">
        <v>31</v>
      </c>
      <c r="D2799">
        <v>100902</v>
      </c>
      <c r="E2799">
        <v>312401</v>
      </c>
      <c r="F2799" t="s">
        <v>115</v>
      </c>
      <c r="G2799" t="s">
        <v>66</v>
      </c>
      <c r="H2799">
        <v>23200</v>
      </c>
      <c r="I2799">
        <v>23200</v>
      </c>
      <c r="J2799">
        <v>0</v>
      </c>
      <c r="K2799">
        <v>0</v>
      </c>
      <c r="L2799">
        <v>0</v>
      </c>
    </row>
    <row r="2800" spans="1:12" x14ac:dyDescent="0.25">
      <c r="A2800" t="str">
        <f t="shared" si="43"/>
        <v>1009023124012026M05</v>
      </c>
      <c r="B2800">
        <v>51321001</v>
      </c>
      <c r="C2800">
        <v>31</v>
      </c>
      <c r="D2800">
        <v>100902</v>
      </c>
      <c r="E2800">
        <v>312401</v>
      </c>
      <c r="F2800" t="s">
        <v>115</v>
      </c>
      <c r="G2800" t="s">
        <v>67</v>
      </c>
      <c r="H2800">
        <v>23200</v>
      </c>
      <c r="I2800">
        <v>23200</v>
      </c>
      <c r="J2800">
        <v>0</v>
      </c>
      <c r="K2800">
        <v>0</v>
      </c>
      <c r="L2800">
        <v>0</v>
      </c>
    </row>
    <row r="2801" spans="1:12" x14ac:dyDescent="0.25">
      <c r="A2801" t="str">
        <f t="shared" si="43"/>
        <v>1009023124012026M06</v>
      </c>
      <c r="B2801">
        <v>51321001</v>
      </c>
      <c r="C2801">
        <v>31</v>
      </c>
      <c r="D2801">
        <v>100902</v>
      </c>
      <c r="E2801">
        <v>312401</v>
      </c>
      <c r="F2801" t="s">
        <v>115</v>
      </c>
      <c r="G2801" t="s">
        <v>68</v>
      </c>
      <c r="H2801">
        <v>23200</v>
      </c>
      <c r="I2801">
        <v>23200</v>
      </c>
      <c r="J2801">
        <v>0</v>
      </c>
      <c r="K2801">
        <v>0</v>
      </c>
      <c r="L2801">
        <v>0</v>
      </c>
    </row>
    <row r="2802" spans="1:12" x14ac:dyDescent="0.25">
      <c r="A2802" t="str">
        <f t="shared" si="43"/>
        <v>1009023124012026M07</v>
      </c>
      <c r="B2802">
        <v>51321001</v>
      </c>
      <c r="C2802">
        <v>31</v>
      </c>
      <c r="D2802">
        <v>100902</v>
      </c>
      <c r="E2802">
        <v>312401</v>
      </c>
      <c r="F2802" t="s">
        <v>115</v>
      </c>
      <c r="G2802" t="s">
        <v>69</v>
      </c>
      <c r="H2802">
        <v>23200</v>
      </c>
      <c r="I2802">
        <v>23200</v>
      </c>
      <c r="J2802">
        <v>0</v>
      </c>
      <c r="K2802">
        <v>0</v>
      </c>
      <c r="L2802">
        <v>0</v>
      </c>
    </row>
    <row r="2803" spans="1:12" x14ac:dyDescent="0.25">
      <c r="A2803" t="str">
        <f t="shared" si="43"/>
        <v>1009023124012026M08</v>
      </c>
      <c r="B2803">
        <v>51321001</v>
      </c>
      <c r="C2803">
        <v>31</v>
      </c>
      <c r="D2803">
        <v>100902</v>
      </c>
      <c r="E2803">
        <v>312401</v>
      </c>
      <c r="F2803" t="s">
        <v>115</v>
      </c>
      <c r="G2803" t="s">
        <v>70</v>
      </c>
      <c r="H2803">
        <v>23200</v>
      </c>
      <c r="I2803">
        <v>23200</v>
      </c>
      <c r="J2803">
        <v>0</v>
      </c>
      <c r="K2803">
        <v>0</v>
      </c>
      <c r="L2803">
        <v>0</v>
      </c>
    </row>
    <row r="2804" spans="1:12" x14ac:dyDescent="0.25">
      <c r="A2804" t="str">
        <f t="shared" si="43"/>
        <v>1009023124012026M09</v>
      </c>
      <c r="B2804">
        <v>51321001</v>
      </c>
      <c r="C2804">
        <v>31</v>
      </c>
      <c r="D2804">
        <v>100902</v>
      </c>
      <c r="E2804">
        <v>312401</v>
      </c>
      <c r="F2804" t="s">
        <v>115</v>
      </c>
      <c r="G2804" t="s">
        <v>71</v>
      </c>
      <c r="H2804">
        <v>23200</v>
      </c>
      <c r="I2804">
        <v>23200</v>
      </c>
      <c r="J2804">
        <v>0</v>
      </c>
      <c r="K2804">
        <v>0</v>
      </c>
      <c r="L2804">
        <v>0</v>
      </c>
    </row>
    <row r="2805" spans="1:12" x14ac:dyDescent="0.25">
      <c r="A2805" t="str">
        <f t="shared" si="43"/>
        <v>1009023124012026M10</v>
      </c>
      <c r="B2805">
        <v>51321001</v>
      </c>
      <c r="C2805">
        <v>31</v>
      </c>
      <c r="D2805">
        <v>100902</v>
      </c>
      <c r="E2805">
        <v>312401</v>
      </c>
      <c r="F2805" t="s">
        <v>115</v>
      </c>
      <c r="G2805" t="s">
        <v>72</v>
      </c>
      <c r="H2805">
        <v>23200.01</v>
      </c>
      <c r="I2805">
        <v>23200</v>
      </c>
      <c r="J2805">
        <v>0.01</v>
      </c>
      <c r="K2805">
        <v>0</v>
      </c>
      <c r="L2805">
        <v>0</v>
      </c>
    </row>
    <row r="2806" spans="1:12" x14ac:dyDescent="0.25">
      <c r="A2806" t="str">
        <f t="shared" si="43"/>
        <v>1009023124012026M11</v>
      </c>
      <c r="B2806">
        <v>51321001</v>
      </c>
      <c r="C2806">
        <v>31</v>
      </c>
      <c r="D2806">
        <v>100902</v>
      </c>
      <c r="E2806">
        <v>312401</v>
      </c>
      <c r="F2806" t="s">
        <v>115</v>
      </c>
      <c r="G2806" t="s">
        <v>73</v>
      </c>
      <c r="H2806">
        <v>23200</v>
      </c>
      <c r="I2806">
        <v>0</v>
      </c>
      <c r="J2806">
        <v>23200</v>
      </c>
      <c r="K2806">
        <v>0</v>
      </c>
      <c r="L2806">
        <v>0</v>
      </c>
    </row>
    <row r="2807" spans="1:12" x14ac:dyDescent="0.25">
      <c r="A2807" t="str">
        <f t="shared" si="43"/>
        <v>1009023124012026M12</v>
      </c>
      <c r="B2807">
        <v>51321001</v>
      </c>
      <c r="C2807">
        <v>31</v>
      </c>
      <c r="D2807">
        <v>100902</v>
      </c>
      <c r="E2807">
        <v>312401</v>
      </c>
      <c r="F2807" t="s">
        <v>115</v>
      </c>
      <c r="G2807" t="s">
        <v>74</v>
      </c>
      <c r="H2807">
        <v>46400</v>
      </c>
      <c r="I2807">
        <v>0</v>
      </c>
      <c r="J2807">
        <v>46400</v>
      </c>
      <c r="K2807">
        <v>0</v>
      </c>
      <c r="L2807">
        <v>0</v>
      </c>
    </row>
    <row r="2808" spans="1:12" x14ac:dyDescent="0.25">
      <c r="A2808" t="str">
        <f t="shared" si="43"/>
        <v>1401003190012026M02</v>
      </c>
      <c r="B2808">
        <v>51321001</v>
      </c>
      <c r="C2808">
        <v>31</v>
      </c>
      <c r="D2808">
        <v>140100</v>
      </c>
      <c r="E2808">
        <v>319001</v>
      </c>
      <c r="F2808" t="s">
        <v>115</v>
      </c>
      <c r="G2808" t="s">
        <v>64</v>
      </c>
      <c r="H2808">
        <v>55770.1</v>
      </c>
      <c r="I2808">
        <v>55770.1</v>
      </c>
      <c r="J2808">
        <v>0</v>
      </c>
      <c r="K2808">
        <v>0</v>
      </c>
      <c r="L2808">
        <v>0</v>
      </c>
    </row>
    <row r="2809" spans="1:12" x14ac:dyDescent="0.25">
      <c r="A2809" t="str">
        <f t="shared" si="43"/>
        <v>1401003190012026M03</v>
      </c>
      <c r="B2809">
        <v>51321001</v>
      </c>
      <c r="C2809">
        <v>31</v>
      </c>
      <c r="D2809">
        <v>140100</v>
      </c>
      <c r="E2809">
        <v>319001</v>
      </c>
      <c r="F2809" t="s">
        <v>115</v>
      </c>
      <c r="G2809" t="s">
        <v>65</v>
      </c>
      <c r="H2809">
        <v>55770.1</v>
      </c>
      <c r="I2809">
        <v>55770.1</v>
      </c>
      <c r="J2809">
        <v>0</v>
      </c>
      <c r="K2809">
        <v>0</v>
      </c>
      <c r="L2809">
        <v>0</v>
      </c>
    </row>
    <row r="2810" spans="1:12" x14ac:dyDescent="0.25">
      <c r="A2810" t="str">
        <f t="shared" si="43"/>
        <v>1401003190012026M04</v>
      </c>
      <c r="B2810">
        <v>51321001</v>
      </c>
      <c r="C2810">
        <v>31</v>
      </c>
      <c r="D2810">
        <v>140100</v>
      </c>
      <c r="E2810">
        <v>319001</v>
      </c>
      <c r="F2810" t="s">
        <v>115</v>
      </c>
      <c r="G2810" t="s">
        <v>66</v>
      </c>
      <c r="H2810">
        <v>55770.1</v>
      </c>
      <c r="I2810">
        <v>55770.1</v>
      </c>
      <c r="J2810">
        <v>0</v>
      </c>
      <c r="K2810">
        <v>0</v>
      </c>
      <c r="L2810">
        <v>0</v>
      </c>
    </row>
    <row r="2811" spans="1:12" x14ac:dyDescent="0.25">
      <c r="A2811" t="str">
        <f t="shared" si="43"/>
        <v>1401003190012026M05</v>
      </c>
      <c r="B2811">
        <v>51321001</v>
      </c>
      <c r="C2811">
        <v>31</v>
      </c>
      <c r="D2811">
        <v>140100</v>
      </c>
      <c r="E2811">
        <v>319001</v>
      </c>
      <c r="F2811" t="s">
        <v>115</v>
      </c>
      <c r="G2811" t="s">
        <v>67</v>
      </c>
      <c r="H2811">
        <v>55770.1</v>
      </c>
      <c r="I2811">
        <v>55770.1</v>
      </c>
      <c r="J2811">
        <v>0</v>
      </c>
      <c r="K2811">
        <v>0</v>
      </c>
      <c r="L2811">
        <v>0</v>
      </c>
    </row>
    <row r="2812" spans="1:12" x14ac:dyDescent="0.25">
      <c r="A2812" t="str">
        <f t="shared" si="43"/>
        <v>1401003190012026M06</v>
      </c>
      <c r="B2812">
        <v>51321001</v>
      </c>
      <c r="C2812">
        <v>31</v>
      </c>
      <c r="D2812">
        <v>140100</v>
      </c>
      <c r="E2812">
        <v>319001</v>
      </c>
      <c r="F2812" t="s">
        <v>115</v>
      </c>
      <c r="G2812" t="s">
        <v>68</v>
      </c>
      <c r="H2812">
        <v>55770.1</v>
      </c>
      <c r="I2812">
        <v>55770.1</v>
      </c>
      <c r="J2812">
        <v>0</v>
      </c>
      <c r="K2812">
        <v>0</v>
      </c>
      <c r="L2812">
        <v>0</v>
      </c>
    </row>
    <row r="2813" spans="1:12" x14ac:dyDescent="0.25">
      <c r="A2813" t="str">
        <f t="shared" si="43"/>
        <v>1401003190012026M07</v>
      </c>
      <c r="B2813">
        <v>51321001</v>
      </c>
      <c r="C2813">
        <v>31</v>
      </c>
      <c r="D2813">
        <v>140100</v>
      </c>
      <c r="E2813">
        <v>319001</v>
      </c>
      <c r="F2813" t="s">
        <v>115</v>
      </c>
      <c r="G2813" t="s">
        <v>69</v>
      </c>
      <c r="H2813">
        <v>55770.1</v>
      </c>
      <c r="I2813">
        <v>55770.1</v>
      </c>
      <c r="J2813">
        <v>0</v>
      </c>
      <c r="K2813">
        <v>0</v>
      </c>
      <c r="L2813">
        <v>0</v>
      </c>
    </row>
    <row r="2814" spans="1:12" x14ac:dyDescent="0.25">
      <c r="A2814" t="str">
        <f t="shared" si="43"/>
        <v>1401003190012026M08</v>
      </c>
      <c r="B2814">
        <v>51321001</v>
      </c>
      <c r="C2814">
        <v>31</v>
      </c>
      <c r="D2814">
        <v>140100</v>
      </c>
      <c r="E2814">
        <v>319001</v>
      </c>
      <c r="F2814" t="s">
        <v>115</v>
      </c>
      <c r="G2814" t="s">
        <v>70</v>
      </c>
      <c r="H2814">
        <v>55770.1</v>
      </c>
      <c r="I2814">
        <v>55770.1</v>
      </c>
      <c r="J2814">
        <v>0</v>
      </c>
      <c r="K2814">
        <v>0</v>
      </c>
      <c r="L2814">
        <v>0</v>
      </c>
    </row>
    <row r="2815" spans="1:12" x14ac:dyDescent="0.25">
      <c r="A2815" t="str">
        <f t="shared" si="43"/>
        <v>1401003190012026M09</v>
      </c>
      <c r="B2815">
        <v>51321001</v>
      </c>
      <c r="C2815">
        <v>31</v>
      </c>
      <c r="D2815">
        <v>140100</v>
      </c>
      <c r="E2815">
        <v>319001</v>
      </c>
      <c r="F2815" t="s">
        <v>115</v>
      </c>
      <c r="G2815" t="s">
        <v>71</v>
      </c>
      <c r="H2815">
        <v>67442.36</v>
      </c>
      <c r="I2815">
        <v>67442.36</v>
      </c>
      <c r="J2815">
        <v>0</v>
      </c>
      <c r="K2815">
        <v>0</v>
      </c>
      <c r="L2815">
        <v>0</v>
      </c>
    </row>
    <row r="2816" spans="1:12" x14ac:dyDescent="0.25">
      <c r="A2816" t="str">
        <f t="shared" si="43"/>
        <v>1401003190012026M10</v>
      </c>
      <c r="B2816">
        <v>51321001</v>
      </c>
      <c r="C2816">
        <v>31</v>
      </c>
      <c r="D2816">
        <v>140100</v>
      </c>
      <c r="E2816">
        <v>319001</v>
      </c>
      <c r="F2816" t="s">
        <v>115</v>
      </c>
      <c r="G2816" t="s">
        <v>72</v>
      </c>
      <c r="H2816">
        <v>67450.539999999994</v>
      </c>
      <c r="I2816">
        <v>67442.36</v>
      </c>
      <c r="J2816">
        <v>8.18</v>
      </c>
      <c r="K2816">
        <v>0</v>
      </c>
      <c r="L2816">
        <v>0</v>
      </c>
    </row>
    <row r="2817" spans="1:12" x14ac:dyDescent="0.25">
      <c r="A2817" t="str">
        <f t="shared" si="43"/>
        <v>1401003190012026M11</v>
      </c>
      <c r="B2817">
        <v>51321001</v>
      </c>
      <c r="C2817">
        <v>31</v>
      </c>
      <c r="D2817">
        <v>140100</v>
      </c>
      <c r="E2817">
        <v>319001</v>
      </c>
      <c r="F2817" t="s">
        <v>115</v>
      </c>
      <c r="G2817" t="s">
        <v>73</v>
      </c>
      <c r="H2817">
        <v>67443.3</v>
      </c>
      <c r="I2817">
        <v>0</v>
      </c>
      <c r="J2817">
        <v>67443.3</v>
      </c>
      <c r="K2817">
        <v>0</v>
      </c>
      <c r="L2817">
        <v>0</v>
      </c>
    </row>
    <row r="2818" spans="1:12" x14ac:dyDescent="0.25">
      <c r="A2818" t="str">
        <f t="shared" si="43"/>
        <v>1401003190012026M12</v>
      </c>
      <c r="B2818">
        <v>51321001</v>
      </c>
      <c r="C2818">
        <v>31</v>
      </c>
      <c r="D2818">
        <v>140100</v>
      </c>
      <c r="E2818">
        <v>319001</v>
      </c>
      <c r="F2818" t="s">
        <v>115</v>
      </c>
      <c r="G2818" t="s">
        <v>74</v>
      </c>
      <c r="H2818">
        <v>134876.6</v>
      </c>
      <c r="I2818">
        <v>0</v>
      </c>
      <c r="J2818">
        <v>134876.6</v>
      </c>
      <c r="K2818">
        <v>0</v>
      </c>
      <c r="L2818">
        <v>0</v>
      </c>
    </row>
    <row r="2819" spans="1:12" x14ac:dyDescent="0.25">
      <c r="A2819" t="str">
        <f t="shared" si="43"/>
        <v>1509003180012026M02</v>
      </c>
      <c r="B2819">
        <v>51321001</v>
      </c>
      <c r="C2819">
        <v>31</v>
      </c>
      <c r="D2819">
        <v>150900</v>
      </c>
      <c r="E2819">
        <v>318001</v>
      </c>
      <c r="F2819" t="s">
        <v>115</v>
      </c>
      <c r="G2819" t="s">
        <v>64</v>
      </c>
      <c r="H2819">
        <v>0</v>
      </c>
      <c r="I2819">
        <v>0</v>
      </c>
      <c r="J2819">
        <v>0</v>
      </c>
      <c r="K2819">
        <v>0</v>
      </c>
      <c r="L2819">
        <v>0</v>
      </c>
    </row>
    <row r="2820" spans="1:12" x14ac:dyDescent="0.25">
      <c r="A2820" t="str">
        <f t="shared" si="43"/>
        <v>1509003180012026M03</v>
      </c>
      <c r="B2820">
        <v>51321001</v>
      </c>
      <c r="C2820">
        <v>31</v>
      </c>
      <c r="D2820">
        <v>150900</v>
      </c>
      <c r="E2820">
        <v>318001</v>
      </c>
      <c r="F2820" t="s">
        <v>115</v>
      </c>
      <c r="G2820" t="s">
        <v>65</v>
      </c>
      <c r="H2820">
        <v>387439.79</v>
      </c>
      <c r="I2820">
        <v>387439.79</v>
      </c>
      <c r="J2820">
        <v>0</v>
      </c>
      <c r="K2820">
        <v>0</v>
      </c>
      <c r="L2820">
        <v>0</v>
      </c>
    </row>
    <row r="2821" spans="1:12" x14ac:dyDescent="0.25">
      <c r="A2821" t="str">
        <f t="shared" si="43"/>
        <v>1509003180012026M04</v>
      </c>
      <c r="B2821">
        <v>51321001</v>
      </c>
      <c r="C2821">
        <v>31</v>
      </c>
      <c r="D2821">
        <v>150900</v>
      </c>
      <c r="E2821">
        <v>318001</v>
      </c>
      <c r="F2821" t="s">
        <v>115</v>
      </c>
      <c r="G2821" t="s">
        <v>66</v>
      </c>
      <c r="H2821">
        <v>193719.9</v>
      </c>
      <c r="I2821">
        <v>193719.9</v>
      </c>
      <c r="J2821">
        <v>0</v>
      </c>
      <c r="K2821">
        <v>0</v>
      </c>
      <c r="L2821">
        <v>0</v>
      </c>
    </row>
    <row r="2822" spans="1:12" x14ac:dyDescent="0.25">
      <c r="A2822" t="str">
        <f t="shared" si="43"/>
        <v>1509003180012026M05</v>
      </c>
      <c r="B2822">
        <v>51321001</v>
      </c>
      <c r="C2822">
        <v>31</v>
      </c>
      <c r="D2822">
        <v>150900</v>
      </c>
      <c r="E2822">
        <v>318001</v>
      </c>
      <c r="F2822" t="s">
        <v>115</v>
      </c>
      <c r="G2822" t="s">
        <v>67</v>
      </c>
      <c r="H2822">
        <v>193719.9</v>
      </c>
      <c r="I2822">
        <v>193719.9</v>
      </c>
      <c r="J2822">
        <v>0</v>
      </c>
      <c r="K2822">
        <v>0</v>
      </c>
      <c r="L2822">
        <v>0</v>
      </c>
    </row>
    <row r="2823" spans="1:12" x14ac:dyDescent="0.25">
      <c r="A2823" t="str">
        <f t="shared" si="43"/>
        <v>1509003180012026M06</v>
      </c>
      <c r="B2823">
        <v>51321001</v>
      </c>
      <c r="C2823">
        <v>31</v>
      </c>
      <c r="D2823">
        <v>150900</v>
      </c>
      <c r="E2823">
        <v>318001</v>
      </c>
      <c r="F2823" t="s">
        <v>115</v>
      </c>
      <c r="G2823" t="s">
        <v>68</v>
      </c>
      <c r="H2823">
        <v>193719.9</v>
      </c>
      <c r="I2823">
        <v>193719.9</v>
      </c>
      <c r="J2823">
        <v>0</v>
      </c>
      <c r="K2823">
        <v>0</v>
      </c>
      <c r="L2823">
        <v>0</v>
      </c>
    </row>
    <row r="2824" spans="1:12" x14ac:dyDescent="0.25">
      <c r="A2824" t="str">
        <f t="shared" si="43"/>
        <v>1509003180012026M07</v>
      </c>
      <c r="B2824">
        <v>51321001</v>
      </c>
      <c r="C2824">
        <v>31</v>
      </c>
      <c r="D2824">
        <v>150900</v>
      </c>
      <c r="E2824">
        <v>318001</v>
      </c>
      <c r="F2824" t="s">
        <v>115</v>
      </c>
      <c r="G2824" t="s">
        <v>69</v>
      </c>
      <c r="H2824">
        <v>193719.9</v>
      </c>
      <c r="I2824">
        <v>193719.9</v>
      </c>
      <c r="J2824">
        <v>0</v>
      </c>
      <c r="K2824">
        <v>0</v>
      </c>
      <c r="L2824">
        <v>0</v>
      </c>
    </row>
    <row r="2825" spans="1:12" x14ac:dyDescent="0.25">
      <c r="A2825" t="str">
        <f t="shared" si="43"/>
        <v>1509003180012026M08</v>
      </c>
      <c r="B2825">
        <v>51321001</v>
      </c>
      <c r="C2825">
        <v>31</v>
      </c>
      <c r="D2825">
        <v>150900</v>
      </c>
      <c r="E2825">
        <v>318001</v>
      </c>
      <c r="F2825" t="s">
        <v>115</v>
      </c>
      <c r="G2825" t="s">
        <v>70</v>
      </c>
      <c r="H2825">
        <v>193719.9</v>
      </c>
      <c r="I2825">
        <v>193719.9</v>
      </c>
      <c r="J2825">
        <v>0</v>
      </c>
      <c r="K2825">
        <v>0</v>
      </c>
      <c r="L2825">
        <v>0</v>
      </c>
    </row>
    <row r="2826" spans="1:12" x14ac:dyDescent="0.25">
      <c r="A2826" t="str">
        <f t="shared" si="43"/>
        <v>1509003180012026M09</v>
      </c>
      <c r="B2826">
        <v>51321001</v>
      </c>
      <c r="C2826">
        <v>31</v>
      </c>
      <c r="D2826">
        <v>150900</v>
      </c>
      <c r="E2826">
        <v>318001</v>
      </c>
      <c r="F2826" t="s">
        <v>115</v>
      </c>
      <c r="G2826" t="s">
        <v>71</v>
      </c>
      <c r="H2826">
        <v>193719.9</v>
      </c>
      <c r="I2826">
        <v>193719.9</v>
      </c>
      <c r="J2826">
        <v>0</v>
      </c>
      <c r="K2826">
        <v>0</v>
      </c>
      <c r="L2826">
        <v>0</v>
      </c>
    </row>
    <row r="2827" spans="1:12" x14ac:dyDescent="0.25">
      <c r="A2827" t="str">
        <f t="shared" ref="A2827:A2890" si="44">D2827&amp;E2827&amp;G2827</f>
        <v>1509003180012026M10</v>
      </c>
      <c r="B2827">
        <v>51321001</v>
      </c>
      <c r="C2827">
        <v>31</v>
      </c>
      <c r="D2827">
        <v>150900</v>
      </c>
      <c r="E2827">
        <v>318001</v>
      </c>
      <c r="F2827" t="s">
        <v>115</v>
      </c>
      <c r="G2827" t="s">
        <v>72</v>
      </c>
      <c r="H2827">
        <v>193720.81</v>
      </c>
      <c r="I2827">
        <v>193719.9</v>
      </c>
      <c r="J2827">
        <v>0.91</v>
      </c>
      <c r="K2827">
        <v>0</v>
      </c>
      <c r="L2827">
        <v>0</v>
      </c>
    </row>
    <row r="2828" spans="1:12" x14ac:dyDescent="0.25">
      <c r="A2828" t="str">
        <f t="shared" si="44"/>
        <v>1509003180012026M11</v>
      </c>
      <c r="B2828">
        <v>51321001</v>
      </c>
      <c r="C2828">
        <v>31</v>
      </c>
      <c r="D2828">
        <v>150900</v>
      </c>
      <c r="E2828">
        <v>318001</v>
      </c>
      <c r="F2828" t="s">
        <v>115</v>
      </c>
      <c r="G2828" t="s">
        <v>73</v>
      </c>
      <c r="H2828">
        <v>193720</v>
      </c>
      <c r="I2828">
        <v>0</v>
      </c>
      <c r="J2828">
        <v>193720</v>
      </c>
      <c r="K2828">
        <v>0</v>
      </c>
      <c r="L2828">
        <v>0</v>
      </c>
    </row>
    <row r="2829" spans="1:12" x14ac:dyDescent="0.25">
      <c r="A2829" t="str">
        <f t="shared" si="44"/>
        <v>1509003180012026M12</v>
      </c>
      <c r="B2829">
        <v>51321001</v>
      </c>
      <c r="C2829">
        <v>31</v>
      </c>
      <c r="D2829">
        <v>150900</v>
      </c>
      <c r="E2829">
        <v>318001</v>
      </c>
      <c r="F2829" t="s">
        <v>115</v>
      </c>
      <c r="G2829" t="s">
        <v>74</v>
      </c>
      <c r="H2829">
        <v>387440</v>
      </c>
      <c r="I2829">
        <v>0</v>
      </c>
      <c r="J2829">
        <v>387440</v>
      </c>
      <c r="K2829">
        <v>0</v>
      </c>
      <c r="L2829">
        <v>0</v>
      </c>
    </row>
    <row r="2830" spans="1:12" x14ac:dyDescent="0.25">
      <c r="A2830" t="str">
        <f t="shared" si="44"/>
        <v>3802003159012026M02</v>
      </c>
      <c r="B2830">
        <v>51321001</v>
      </c>
      <c r="C2830">
        <v>31</v>
      </c>
      <c r="D2830">
        <v>380200</v>
      </c>
      <c r="E2830">
        <v>315901</v>
      </c>
      <c r="F2830" t="s">
        <v>115</v>
      </c>
      <c r="G2830" t="s">
        <v>64</v>
      </c>
      <c r="H2830">
        <v>52029.98</v>
      </c>
      <c r="I2830">
        <v>52029.98</v>
      </c>
      <c r="J2830">
        <v>0</v>
      </c>
      <c r="K2830">
        <v>0</v>
      </c>
      <c r="L2830">
        <v>0</v>
      </c>
    </row>
    <row r="2831" spans="1:12" x14ac:dyDescent="0.25">
      <c r="A2831" t="str">
        <f t="shared" si="44"/>
        <v>3802003159012026M03</v>
      </c>
      <c r="B2831">
        <v>51321001</v>
      </c>
      <c r="C2831">
        <v>31</v>
      </c>
      <c r="D2831">
        <v>380200</v>
      </c>
      <c r="E2831">
        <v>315901</v>
      </c>
      <c r="F2831" t="s">
        <v>115</v>
      </c>
      <c r="G2831" t="s">
        <v>65</v>
      </c>
      <c r="H2831">
        <v>52029.98</v>
      </c>
      <c r="I2831">
        <v>52029.98</v>
      </c>
      <c r="J2831">
        <v>0</v>
      </c>
      <c r="K2831">
        <v>0</v>
      </c>
      <c r="L2831">
        <v>0</v>
      </c>
    </row>
    <row r="2832" spans="1:12" x14ac:dyDescent="0.25">
      <c r="A2832" t="str">
        <f t="shared" si="44"/>
        <v>3802003159012026M04</v>
      </c>
      <c r="B2832">
        <v>51321001</v>
      </c>
      <c r="C2832">
        <v>31</v>
      </c>
      <c r="D2832">
        <v>380200</v>
      </c>
      <c r="E2832">
        <v>315901</v>
      </c>
      <c r="F2832" t="s">
        <v>115</v>
      </c>
      <c r="G2832" t="s">
        <v>66</v>
      </c>
      <c r="H2832">
        <v>52029.98</v>
      </c>
      <c r="I2832">
        <v>52029.98</v>
      </c>
      <c r="J2832">
        <v>0</v>
      </c>
      <c r="K2832">
        <v>0</v>
      </c>
      <c r="L2832">
        <v>0</v>
      </c>
    </row>
    <row r="2833" spans="1:12" x14ac:dyDescent="0.25">
      <c r="A2833" t="str">
        <f t="shared" si="44"/>
        <v>3802003159012026M05</v>
      </c>
      <c r="B2833">
        <v>51321001</v>
      </c>
      <c r="C2833">
        <v>31</v>
      </c>
      <c r="D2833">
        <v>380200</v>
      </c>
      <c r="E2833">
        <v>315901</v>
      </c>
      <c r="F2833" t="s">
        <v>115</v>
      </c>
      <c r="G2833" t="s">
        <v>67</v>
      </c>
      <c r="H2833">
        <v>52029.98</v>
      </c>
      <c r="I2833">
        <v>52029.98</v>
      </c>
      <c r="J2833">
        <v>0</v>
      </c>
      <c r="K2833">
        <v>0</v>
      </c>
      <c r="L2833">
        <v>0</v>
      </c>
    </row>
    <row r="2834" spans="1:12" x14ac:dyDescent="0.25">
      <c r="A2834" t="str">
        <f t="shared" si="44"/>
        <v>3802003159012026M06</v>
      </c>
      <c r="B2834">
        <v>51321001</v>
      </c>
      <c r="C2834">
        <v>31</v>
      </c>
      <c r="D2834">
        <v>380200</v>
      </c>
      <c r="E2834">
        <v>315901</v>
      </c>
      <c r="F2834" t="s">
        <v>115</v>
      </c>
      <c r="G2834" t="s">
        <v>68</v>
      </c>
      <c r="H2834">
        <v>60354.77</v>
      </c>
      <c r="I2834">
        <v>60354.77</v>
      </c>
      <c r="J2834">
        <v>0</v>
      </c>
      <c r="K2834">
        <v>0</v>
      </c>
      <c r="L2834">
        <v>0</v>
      </c>
    </row>
    <row r="2835" spans="1:12" x14ac:dyDescent="0.25">
      <c r="A2835" t="str">
        <f t="shared" si="44"/>
        <v>3802003159012026M07</v>
      </c>
      <c r="B2835">
        <v>51321001</v>
      </c>
      <c r="C2835">
        <v>31</v>
      </c>
      <c r="D2835">
        <v>380200</v>
      </c>
      <c r="E2835">
        <v>315901</v>
      </c>
      <c r="F2835" t="s">
        <v>115</v>
      </c>
      <c r="G2835" t="s">
        <v>69</v>
      </c>
      <c r="H2835">
        <v>60354.77</v>
      </c>
      <c r="I2835">
        <v>60354.77</v>
      </c>
      <c r="J2835">
        <v>0</v>
      </c>
      <c r="K2835">
        <v>0</v>
      </c>
      <c r="L2835">
        <v>0</v>
      </c>
    </row>
    <row r="2836" spans="1:12" x14ac:dyDescent="0.25">
      <c r="A2836" t="str">
        <f t="shared" si="44"/>
        <v>3802003159012026M08</v>
      </c>
      <c r="B2836">
        <v>51321001</v>
      </c>
      <c r="C2836">
        <v>31</v>
      </c>
      <c r="D2836">
        <v>380200</v>
      </c>
      <c r="E2836">
        <v>315901</v>
      </c>
      <c r="F2836" t="s">
        <v>115</v>
      </c>
      <c r="G2836" t="s">
        <v>70</v>
      </c>
      <c r="H2836">
        <v>60354.77</v>
      </c>
      <c r="I2836">
        <v>60354.77</v>
      </c>
      <c r="J2836">
        <v>0</v>
      </c>
      <c r="K2836">
        <v>0</v>
      </c>
      <c r="L2836">
        <v>0</v>
      </c>
    </row>
    <row r="2837" spans="1:12" x14ac:dyDescent="0.25">
      <c r="A2837" t="str">
        <f t="shared" si="44"/>
        <v>3802003159012026M09</v>
      </c>
      <c r="B2837">
        <v>51321001</v>
      </c>
      <c r="C2837">
        <v>31</v>
      </c>
      <c r="D2837">
        <v>380200</v>
      </c>
      <c r="E2837">
        <v>315901</v>
      </c>
      <c r="F2837" t="s">
        <v>115</v>
      </c>
      <c r="G2837" t="s">
        <v>71</v>
      </c>
      <c r="H2837">
        <v>60354.77</v>
      </c>
      <c r="I2837">
        <v>60354.77</v>
      </c>
      <c r="J2837">
        <v>0</v>
      </c>
      <c r="K2837">
        <v>0</v>
      </c>
      <c r="L2837">
        <v>0</v>
      </c>
    </row>
    <row r="2838" spans="1:12" x14ac:dyDescent="0.25">
      <c r="A2838" t="str">
        <f t="shared" si="44"/>
        <v>3802003159012026M10</v>
      </c>
      <c r="B2838">
        <v>51321001</v>
      </c>
      <c r="C2838">
        <v>31</v>
      </c>
      <c r="D2838">
        <v>380200</v>
      </c>
      <c r="E2838">
        <v>315901</v>
      </c>
      <c r="F2838" t="s">
        <v>115</v>
      </c>
      <c r="G2838" t="s">
        <v>72</v>
      </c>
      <c r="H2838">
        <v>93656</v>
      </c>
      <c r="I2838">
        <v>60354.77</v>
      </c>
      <c r="J2838">
        <v>33301.230000000003</v>
      </c>
      <c r="K2838">
        <v>0</v>
      </c>
      <c r="L2838">
        <v>0</v>
      </c>
    </row>
    <row r="2839" spans="1:12" x14ac:dyDescent="0.25">
      <c r="A2839" t="str">
        <f t="shared" si="44"/>
        <v>3802003159012026M11</v>
      </c>
      <c r="B2839">
        <v>51321001</v>
      </c>
      <c r="C2839">
        <v>31</v>
      </c>
      <c r="D2839">
        <v>380200</v>
      </c>
      <c r="E2839">
        <v>315901</v>
      </c>
      <c r="F2839" t="s">
        <v>115</v>
      </c>
      <c r="G2839" t="s">
        <v>73</v>
      </c>
      <c r="H2839">
        <v>60355</v>
      </c>
      <c r="I2839">
        <v>0</v>
      </c>
      <c r="J2839">
        <v>60355</v>
      </c>
      <c r="K2839">
        <v>0</v>
      </c>
      <c r="L2839">
        <v>0</v>
      </c>
    </row>
    <row r="2840" spans="1:12" x14ac:dyDescent="0.25">
      <c r="A2840" t="str">
        <f t="shared" si="44"/>
        <v>3802003159012026M12</v>
      </c>
      <c r="B2840">
        <v>51321001</v>
      </c>
      <c r="C2840">
        <v>31</v>
      </c>
      <c r="D2840">
        <v>380200</v>
      </c>
      <c r="E2840">
        <v>315901</v>
      </c>
      <c r="F2840" t="s">
        <v>115</v>
      </c>
      <c r="G2840" t="s">
        <v>74</v>
      </c>
      <c r="H2840">
        <v>120708</v>
      </c>
      <c r="I2840">
        <v>0</v>
      </c>
      <c r="J2840">
        <v>120708</v>
      </c>
      <c r="K2840">
        <v>0</v>
      </c>
      <c r="L2840">
        <v>0</v>
      </c>
    </row>
    <row r="2841" spans="1:12" x14ac:dyDescent="0.25">
      <c r="A2841" t="str">
        <f t="shared" si="44"/>
        <v>3802003159042026M02</v>
      </c>
      <c r="B2841">
        <v>51321001</v>
      </c>
      <c r="C2841">
        <v>31</v>
      </c>
      <c r="D2841">
        <v>380200</v>
      </c>
      <c r="E2841">
        <v>315904</v>
      </c>
      <c r="F2841" t="s">
        <v>115</v>
      </c>
      <c r="G2841" t="s">
        <v>64</v>
      </c>
      <c r="H2841">
        <v>51040</v>
      </c>
      <c r="I2841">
        <v>51040</v>
      </c>
      <c r="J2841">
        <v>0</v>
      </c>
      <c r="K2841">
        <v>0</v>
      </c>
      <c r="L2841">
        <v>0</v>
      </c>
    </row>
    <row r="2842" spans="1:12" x14ac:dyDescent="0.25">
      <c r="A2842" t="str">
        <f t="shared" si="44"/>
        <v>3802003159042026M03</v>
      </c>
      <c r="B2842">
        <v>51321001</v>
      </c>
      <c r="C2842">
        <v>31</v>
      </c>
      <c r="D2842">
        <v>380200</v>
      </c>
      <c r="E2842">
        <v>315904</v>
      </c>
      <c r="F2842" t="s">
        <v>115</v>
      </c>
      <c r="G2842" t="s">
        <v>65</v>
      </c>
      <c r="H2842">
        <v>51040</v>
      </c>
      <c r="I2842">
        <v>51040</v>
      </c>
      <c r="J2842">
        <v>0</v>
      </c>
      <c r="K2842">
        <v>0</v>
      </c>
      <c r="L2842">
        <v>0</v>
      </c>
    </row>
    <row r="2843" spans="1:12" x14ac:dyDescent="0.25">
      <c r="A2843" t="str">
        <f t="shared" si="44"/>
        <v>3802003159042026M04</v>
      </c>
      <c r="B2843">
        <v>51321001</v>
      </c>
      <c r="C2843">
        <v>31</v>
      </c>
      <c r="D2843">
        <v>380200</v>
      </c>
      <c r="E2843">
        <v>315904</v>
      </c>
      <c r="F2843" t="s">
        <v>115</v>
      </c>
      <c r="G2843" t="s">
        <v>66</v>
      </c>
      <c r="H2843">
        <v>0</v>
      </c>
      <c r="I2843">
        <v>0</v>
      </c>
      <c r="J2843">
        <v>0</v>
      </c>
      <c r="K2843">
        <v>0</v>
      </c>
      <c r="L2843">
        <v>0</v>
      </c>
    </row>
    <row r="2844" spans="1:12" x14ac:dyDescent="0.25">
      <c r="A2844" t="str">
        <f t="shared" si="44"/>
        <v>3802003159042026M05</v>
      </c>
      <c r="B2844">
        <v>51321001</v>
      </c>
      <c r="C2844">
        <v>31</v>
      </c>
      <c r="D2844">
        <v>380200</v>
      </c>
      <c r="E2844">
        <v>315904</v>
      </c>
      <c r="F2844" t="s">
        <v>115</v>
      </c>
      <c r="G2844" t="s">
        <v>67</v>
      </c>
      <c r="H2844">
        <v>102080</v>
      </c>
      <c r="I2844">
        <v>102080</v>
      </c>
      <c r="J2844">
        <v>0</v>
      </c>
      <c r="K2844">
        <v>0</v>
      </c>
      <c r="L2844">
        <v>0</v>
      </c>
    </row>
    <row r="2845" spans="1:12" x14ac:dyDescent="0.25">
      <c r="A2845" t="str">
        <f t="shared" si="44"/>
        <v>3802003159042026M06</v>
      </c>
      <c r="B2845">
        <v>51321001</v>
      </c>
      <c r="C2845">
        <v>31</v>
      </c>
      <c r="D2845">
        <v>380200</v>
      </c>
      <c r="E2845">
        <v>315904</v>
      </c>
      <c r="F2845" t="s">
        <v>115</v>
      </c>
      <c r="G2845" t="s">
        <v>68</v>
      </c>
      <c r="H2845">
        <v>51040</v>
      </c>
      <c r="I2845">
        <v>51040</v>
      </c>
      <c r="J2845">
        <v>0</v>
      </c>
      <c r="K2845">
        <v>0</v>
      </c>
      <c r="L2845">
        <v>0</v>
      </c>
    </row>
    <row r="2846" spans="1:12" x14ac:dyDescent="0.25">
      <c r="A2846" t="str">
        <f t="shared" si="44"/>
        <v>3802003159042026M07</v>
      </c>
      <c r="B2846">
        <v>51321001</v>
      </c>
      <c r="C2846">
        <v>31</v>
      </c>
      <c r="D2846">
        <v>380200</v>
      </c>
      <c r="E2846">
        <v>315904</v>
      </c>
      <c r="F2846" t="s">
        <v>115</v>
      </c>
      <c r="G2846" t="s">
        <v>69</v>
      </c>
      <c r="H2846">
        <v>51040</v>
      </c>
      <c r="I2846">
        <v>51040</v>
      </c>
      <c r="J2846">
        <v>0</v>
      </c>
      <c r="K2846">
        <v>0</v>
      </c>
      <c r="L2846">
        <v>0</v>
      </c>
    </row>
    <row r="2847" spans="1:12" x14ac:dyDescent="0.25">
      <c r="A2847" t="str">
        <f t="shared" si="44"/>
        <v>3802003159042026M08</v>
      </c>
      <c r="B2847">
        <v>51321001</v>
      </c>
      <c r="C2847">
        <v>31</v>
      </c>
      <c r="D2847">
        <v>380200</v>
      </c>
      <c r="E2847">
        <v>315904</v>
      </c>
      <c r="F2847" t="s">
        <v>115</v>
      </c>
      <c r="G2847" t="s">
        <v>70</v>
      </c>
      <c r="H2847">
        <v>51040</v>
      </c>
      <c r="I2847">
        <v>51040</v>
      </c>
      <c r="J2847">
        <v>0</v>
      </c>
      <c r="K2847">
        <v>0</v>
      </c>
      <c r="L2847">
        <v>0</v>
      </c>
    </row>
    <row r="2848" spans="1:12" x14ac:dyDescent="0.25">
      <c r="A2848" t="str">
        <f t="shared" si="44"/>
        <v>3802003159042026M09</v>
      </c>
      <c r="B2848">
        <v>51321001</v>
      </c>
      <c r="C2848">
        <v>31</v>
      </c>
      <c r="D2848">
        <v>380200</v>
      </c>
      <c r="E2848">
        <v>315904</v>
      </c>
      <c r="F2848" t="s">
        <v>115</v>
      </c>
      <c r="G2848" t="s">
        <v>71</v>
      </c>
      <c r="H2848">
        <v>51040</v>
      </c>
      <c r="I2848">
        <v>51040</v>
      </c>
      <c r="J2848">
        <v>0</v>
      </c>
      <c r="K2848">
        <v>0</v>
      </c>
      <c r="L2848">
        <v>0</v>
      </c>
    </row>
    <row r="2849" spans="1:12" x14ac:dyDescent="0.25">
      <c r="A2849" t="str">
        <f t="shared" si="44"/>
        <v>3802003159042026M10</v>
      </c>
      <c r="B2849">
        <v>51321001</v>
      </c>
      <c r="C2849">
        <v>31</v>
      </c>
      <c r="D2849">
        <v>380200</v>
      </c>
      <c r="E2849">
        <v>315904</v>
      </c>
      <c r="F2849" t="s">
        <v>115</v>
      </c>
      <c r="G2849" t="s">
        <v>72</v>
      </c>
      <c r="H2849">
        <v>51040</v>
      </c>
      <c r="I2849">
        <v>51040</v>
      </c>
      <c r="J2849">
        <v>0</v>
      </c>
      <c r="K2849">
        <v>0</v>
      </c>
      <c r="L2849">
        <v>0</v>
      </c>
    </row>
    <row r="2850" spans="1:12" x14ac:dyDescent="0.25">
      <c r="A2850" t="str">
        <f t="shared" si="44"/>
        <v>3802003159042026M11</v>
      </c>
      <c r="B2850">
        <v>51321001</v>
      </c>
      <c r="C2850">
        <v>31</v>
      </c>
      <c r="D2850">
        <v>380200</v>
      </c>
      <c r="E2850">
        <v>315904</v>
      </c>
      <c r="F2850" t="s">
        <v>115</v>
      </c>
      <c r="G2850" t="s">
        <v>73</v>
      </c>
      <c r="H2850">
        <v>51040</v>
      </c>
      <c r="I2850">
        <v>0</v>
      </c>
      <c r="J2850">
        <v>51040</v>
      </c>
      <c r="K2850">
        <v>0</v>
      </c>
      <c r="L2850">
        <v>0</v>
      </c>
    </row>
    <row r="2851" spans="1:12" x14ac:dyDescent="0.25">
      <c r="A2851" t="str">
        <f t="shared" si="44"/>
        <v>3802003159042026M12</v>
      </c>
      <c r="B2851">
        <v>51321001</v>
      </c>
      <c r="C2851">
        <v>31</v>
      </c>
      <c r="D2851">
        <v>380200</v>
      </c>
      <c r="E2851">
        <v>315904</v>
      </c>
      <c r="F2851" t="s">
        <v>115</v>
      </c>
      <c r="G2851" t="s">
        <v>74</v>
      </c>
      <c r="H2851">
        <v>102080</v>
      </c>
      <c r="I2851">
        <v>0</v>
      </c>
      <c r="J2851">
        <v>102080</v>
      </c>
      <c r="K2851">
        <v>0</v>
      </c>
      <c r="L2851">
        <v>0</v>
      </c>
    </row>
    <row r="2852" spans="1:12" x14ac:dyDescent="0.25">
      <c r="A2852" t="str">
        <f t="shared" si="44"/>
        <v>9001103191022026M02</v>
      </c>
      <c r="B2852">
        <v>51321001</v>
      </c>
      <c r="C2852">
        <v>31</v>
      </c>
      <c r="D2852">
        <v>900110</v>
      </c>
      <c r="E2852">
        <v>319102</v>
      </c>
      <c r="F2852" t="s">
        <v>115</v>
      </c>
      <c r="G2852" t="s">
        <v>64</v>
      </c>
      <c r="H2852">
        <v>0</v>
      </c>
      <c r="I2852">
        <v>0</v>
      </c>
      <c r="J2852">
        <v>0</v>
      </c>
      <c r="K2852">
        <v>0</v>
      </c>
      <c r="L2852">
        <v>0</v>
      </c>
    </row>
    <row r="2853" spans="1:12" x14ac:dyDescent="0.25">
      <c r="A2853" t="str">
        <f t="shared" si="44"/>
        <v>9001103191022026M03</v>
      </c>
      <c r="B2853">
        <v>51321001</v>
      </c>
      <c r="C2853">
        <v>31</v>
      </c>
      <c r="D2853">
        <v>900110</v>
      </c>
      <c r="E2853">
        <v>319102</v>
      </c>
      <c r="F2853" t="s">
        <v>115</v>
      </c>
      <c r="G2853" t="s">
        <v>65</v>
      </c>
      <c r="H2853">
        <v>220399.87</v>
      </c>
      <c r="I2853">
        <v>220399.87</v>
      </c>
      <c r="J2853">
        <v>0</v>
      </c>
      <c r="K2853">
        <v>0</v>
      </c>
      <c r="L2853">
        <v>0</v>
      </c>
    </row>
    <row r="2854" spans="1:12" x14ac:dyDescent="0.25">
      <c r="A2854" t="str">
        <f t="shared" si="44"/>
        <v>9001103191022026M04</v>
      </c>
      <c r="B2854">
        <v>51321001</v>
      </c>
      <c r="C2854">
        <v>31</v>
      </c>
      <c r="D2854">
        <v>900110</v>
      </c>
      <c r="E2854">
        <v>319102</v>
      </c>
      <c r="F2854" t="s">
        <v>115</v>
      </c>
      <c r="G2854" t="s">
        <v>66</v>
      </c>
      <c r="H2854">
        <v>110199.94</v>
      </c>
      <c r="I2854">
        <v>110199.94</v>
      </c>
      <c r="J2854">
        <v>0</v>
      </c>
      <c r="K2854">
        <v>0</v>
      </c>
      <c r="L2854">
        <v>0</v>
      </c>
    </row>
    <row r="2855" spans="1:12" x14ac:dyDescent="0.25">
      <c r="A2855" t="str">
        <f t="shared" si="44"/>
        <v>9001103191022026M05</v>
      </c>
      <c r="B2855">
        <v>51321001</v>
      </c>
      <c r="C2855">
        <v>31</v>
      </c>
      <c r="D2855">
        <v>900110</v>
      </c>
      <c r="E2855">
        <v>319102</v>
      </c>
      <c r="F2855" t="s">
        <v>115</v>
      </c>
      <c r="G2855" t="s">
        <v>67</v>
      </c>
      <c r="H2855">
        <v>110199.94</v>
      </c>
      <c r="I2855">
        <v>110199.94</v>
      </c>
      <c r="J2855">
        <v>0</v>
      </c>
      <c r="K2855">
        <v>0</v>
      </c>
      <c r="L2855">
        <v>0</v>
      </c>
    </row>
    <row r="2856" spans="1:12" x14ac:dyDescent="0.25">
      <c r="A2856" t="str">
        <f t="shared" si="44"/>
        <v>9001103191022026M06</v>
      </c>
      <c r="B2856">
        <v>51321001</v>
      </c>
      <c r="C2856">
        <v>31</v>
      </c>
      <c r="D2856">
        <v>900110</v>
      </c>
      <c r="E2856">
        <v>319102</v>
      </c>
      <c r="F2856" t="s">
        <v>115</v>
      </c>
      <c r="G2856" t="s">
        <v>68</v>
      </c>
      <c r="H2856">
        <v>110199.94</v>
      </c>
      <c r="I2856">
        <v>110199.94</v>
      </c>
      <c r="J2856">
        <v>0</v>
      </c>
      <c r="K2856">
        <v>0</v>
      </c>
      <c r="L2856">
        <v>0</v>
      </c>
    </row>
    <row r="2857" spans="1:12" x14ac:dyDescent="0.25">
      <c r="A2857" t="str">
        <f t="shared" si="44"/>
        <v>9001103191022026M07</v>
      </c>
      <c r="B2857">
        <v>51321001</v>
      </c>
      <c r="C2857">
        <v>31</v>
      </c>
      <c r="D2857">
        <v>900110</v>
      </c>
      <c r="E2857">
        <v>319102</v>
      </c>
      <c r="F2857" t="s">
        <v>115</v>
      </c>
      <c r="G2857" t="s">
        <v>69</v>
      </c>
      <c r="H2857">
        <v>110199.94</v>
      </c>
      <c r="I2857">
        <v>110199.94</v>
      </c>
      <c r="J2857">
        <v>0</v>
      </c>
      <c r="K2857">
        <v>0</v>
      </c>
      <c r="L2857">
        <v>0</v>
      </c>
    </row>
    <row r="2858" spans="1:12" x14ac:dyDescent="0.25">
      <c r="A2858" t="str">
        <f t="shared" si="44"/>
        <v>9001103191022026M08</v>
      </c>
      <c r="B2858">
        <v>51321001</v>
      </c>
      <c r="C2858">
        <v>31</v>
      </c>
      <c r="D2858">
        <v>900110</v>
      </c>
      <c r="E2858">
        <v>319102</v>
      </c>
      <c r="F2858" t="s">
        <v>115</v>
      </c>
      <c r="G2858" t="s">
        <v>70</v>
      </c>
      <c r="H2858">
        <v>110199.94</v>
      </c>
      <c r="I2858">
        <v>110199.94</v>
      </c>
      <c r="J2858">
        <v>0</v>
      </c>
      <c r="K2858">
        <v>0</v>
      </c>
      <c r="L2858">
        <v>0</v>
      </c>
    </row>
    <row r="2859" spans="1:12" x14ac:dyDescent="0.25">
      <c r="A2859" t="str">
        <f t="shared" si="44"/>
        <v>9001103191022026M09</v>
      </c>
      <c r="B2859">
        <v>51321001</v>
      </c>
      <c r="C2859">
        <v>31</v>
      </c>
      <c r="D2859">
        <v>900110</v>
      </c>
      <c r="E2859">
        <v>319102</v>
      </c>
      <c r="F2859" t="s">
        <v>115</v>
      </c>
      <c r="G2859" t="s">
        <v>71</v>
      </c>
      <c r="H2859">
        <v>110199.94</v>
      </c>
      <c r="I2859">
        <v>110199.94</v>
      </c>
      <c r="J2859">
        <v>0</v>
      </c>
      <c r="K2859">
        <v>0</v>
      </c>
      <c r="L2859">
        <v>0</v>
      </c>
    </row>
    <row r="2860" spans="1:12" x14ac:dyDescent="0.25">
      <c r="A2860" t="str">
        <f t="shared" si="44"/>
        <v>9001103191022026M10</v>
      </c>
      <c r="B2860">
        <v>51321001</v>
      </c>
      <c r="C2860">
        <v>31</v>
      </c>
      <c r="D2860">
        <v>900110</v>
      </c>
      <c r="E2860">
        <v>319102</v>
      </c>
      <c r="F2860" t="s">
        <v>115</v>
      </c>
      <c r="G2860" t="s">
        <v>72</v>
      </c>
      <c r="H2860">
        <v>110200.49</v>
      </c>
      <c r="I2860">
        <v>110199.94</v>
      </c>
      <c r="J2860">
        <v>0.55000000000000004</v>
      </c>
      <c r="K2860">
        <v>0</v>
      </c>
      <c r="L2860">
        <v>0</v>
      </c>
    </row>
    <row r="2861" spans="1:12" x14ac:dyDescent="0.25">
      <c r="A2861" t="str">
        <f t="shared" si="44"/>
        <v>9001103191022026M11</v>
      </c>
      <c r="B2861">
        <v>51321001</v>
      </c>
      <c r="C2861">
        <v>31</v>
      </c>
      <c r="D2861">
        <v>900110</v>
      </c>
      <c r="E2861">
        <v>319102</v>
      </c>
      <c r="F2861" t="s">
        <v>115</v>
      </c>
      <c r="G2861" t="s">
        <v>73</v>
      </c>
      <c r="H2861">
        <v>110200</v>
      </c>
      <c r="I2861">
        <v>0</v>
      </c>
      <c r="J2861">
        <v>110200</v>
      </c>
      <c r="K2861">
        <v>0</v>
      </c>
      <c r="L2861">
        <v>0</v>
      </c>
    </row>
    <row r="2862" spans="1:12" x14ac:dyDescent="0.25">
      <c r="A2862" t="str">
        <f t="shared" si="44"/>
        <v>9001103191022026M12</v>
      </c>
      <c r="B2862">
        <v>51321001</v>
      </c>
      <c r="C2862">
        <v>31</v>
      </c>
      <c r="D2862">
        <v>900110</v>
      </c>
      <c r="E2862">
        <v>319102</v>
      </c>
      <c r="F2862" t="s">
        <v>115</v>
      </c>
      <c r="G2862" t="s">
        <v>74</v>
      </c>
      <c r="H2862">
        <v>220400</v>
      </c>
      <c r="I2862">
        <v>0</v>
      </c>
      <c r="J2862">
        <v>220400</v>
      </c>
      <c r="K2862">
        <v>0</v>
      </c>
      <c r="L2862">
        <v>0</v>
      </c>
    </row>
    <row r="2863" spans="1:12" x14ac:dyDescent="0.25">
      <c r="A2863" t="str">
        <f t="shared" si="44"/>
        <v>9001103191032026M02</v>
      </c>
      <c r="B2863">
        <v>51321001</v>
      </c>
      <c r="C2863">
        <v>31</v>
      </c>
      <c r="D2863">
        <v>900110</v>
      </c>
      <c r="E2863">
        <v>319103</v>
      </c>
      <c r="F2863" t="s">
        <v>115</v>
      </c>
      <c r="G2863" t="s">
        <v>64</v>
      </c>
      <c r="H2863">
        <v>0</v>
      </c>
      <c r="I2863">
        <v>0</v>
      </c>
      <c r="J2863">
        <v>0</v>
      </c>
      <c r="K2863">
        <v>0</v>
      </c>
      <c r="L2863">
        <v>0</v>
      </c>
    </row>
    <row r="2864" spans="1:12" x14ac:dyDescent="0.25">
      <c r="A2864" t="str">
        <f t="shared" si="44"/>
        <v>9001103191032026M03</v>
      </c>
      <c r="B2864">
        <v>51321001</v>
      </c>
      <c r="C2864">
        <v>31</v>
      </c>
      <c r="D2864">
        <v>900110</v>
      </c>
      <c r="E2864">
        <v>319103</v>
      </c>
      <c r="F2864" t="s">
        <v>115</v>
      </c>
      <c r="G2864" t="s">
        <v>65</v>
      </c>
      <c r="H2864">
        <v>93538.04</v>
      </c>
      <c r="I2864">
        <v>93538.04</v>
      </c>
      <c r="J2864">
        <v>0</v>
      </c>
      <c r="K2864">
        <v>0</v>
      </c>
      <c r="L2864">
        <v>0</v>
      </c>
    </row>
    <row r="2865" spans="1:12" x14ac:dyDescent="0.25">
      <c r="A2865" t="str">
        <f t="shared" si="44"/>
        <v>9001103191032026M04</v>
      </c>
      <c r="B2865">
        <v>51321001</v>
      </c>
      <c r="C2865">
        <v>31</v>
      </c>
      <c r="D2865">
        <v>900110</v>
      </c>
      <c r="E2865">
        <v>319103</v>
      </c>
      <c r="F2865" t="s">
        <v>115</v>
      </c>
      <c r="G2865" t="s">
        <v>66</v>
      </c>
      <c r="H2865">
        <v>46769.02</v>
      </c>
      <c r="I2865">
        <v>46769.02</v>
      </c>
      <c r="J2865">
        <v>0</v>
      </c>
      <c r="K2865">
        <v>0</v>
      </c>
      <c r="L2865">
        <v>0</v>
      </c>
    </row>
    <row r="2866" spans="1:12" x14ac:dyDescent="0.25">
      <c r="A2866" t="str">
        <f t="shared" si="44"/>
        <v>9001103191032026M05</v>
      </c>
      <c r="B2866">
        <v>51321001</v>
      </c>
      <c r="C2866">
        <v>31</v>
      </c>
      <c r="D2866">
        <v>900110</v>
      </c>
      <c r="E2866">
        <v>319103</v>
      </c>
      <c r="F2866" t="s">
        <v>115</v>
      </c>
      <c r="G2866" t="s">
        <v>67</v>
      </c>
      <c r="H2866">
        <v>46769.02</v>
      </c>
      <c r="I2866">
        <v>46769.02</v>
      </c>
      <c r="J2866">
        <v>0</v>
      </c>
      <c r="K2866">
        <v>0</v>
      </c>
      <c r="L2866">
        <v>0</v>
      </c>
    </row>
    <row r="2867" spans="1:12" x14ac:dyDescent="0.25">
      <c r="A2867" t="str">
        <f t="shared" si="44"/>
        <v>9001103191032026M06</v>
      </c>
      <c r="B2867">
        <v>51321001</v>
      </c>
      <c r="C2867">
        <v>31</v>
      </c>
      <c r="D2867">
        <v>900110</v>
      </c>
      <c r="E2867">
        <v>319103</v>
      </c>
      <c r="F2867" t="s">
        <v>115</v>
      </c>
      <c r="G2867" t="s">
        <v>68</v>
      </c>
      <c r="H2867">
        <v>46769.02</v>
      </c>
      <c r="I2867">
        <v>46769.02</v>
      </c>
      <c r="J2867">
        <v>0</v>
      </c>
      <c r="K2867">
        <v>0</v>
      </c>
      <c r="L2867">
        <v>0</v>
      </c>
    </row>
    <row r="2868" spans="1:12" x14ac:dyDescent="0.25">
      <c r="A2868" t="str">
        <f t="shared" si="44"/>
        <v>9001103191032026M07</v>
      </c>
      <c r="B2868">
        <v>51321001</v>
      </c>
      <c r="C2868">
        <v>31</v>
      </c>
      <c r="D2868">
        <v>900110</v>
      </c>
      <c r="E2868">
        <v>319103</v>
      </c>
      <c r="F2868" t="s">
        <v>115</v>
      </c>
      <c r="G2868" t="s">
        <v>69</v>
      </c>
      <c r="H2868">
        <v>46769.02</v>
      </c>
      <c r="I2868">
        <v>46769.02</v>
      </c>
      <c r="J2868">
        <v>0</v>
      </c>
      <c r="K2868">
        <v>0</v>
      </c>
      <c r="L2868">
        <v>0</v>
      </c>
    </row>
    <row r="2869" spans="1:12" x14ac:dyDescent="0.25">
      <c r="A2869" t="str">
        <f t="shared" si="44"/>
        <v>9001103191032026M08</v>
      </c>
      <c r="B2869">
        <v>51321001</v>
      </c>
      <c r="C2869">
        <v>31</v>
      </c>
      <c r="D2869">
        <v>900110</v>
      </c>
      <c r="E2869">
        <v>319103</v>
      </c>
      <c r="F2869" t="s">
        <v>115</v>
      </c>
      <c r="G2869" t="s">
        <v>70</v>
      </c>
      <c r="H2869">
        <v>46769.02</v>
      </c>
      <c r="I2869">
        <v>46769.02</v>
      </c>
      <c r="J2869">
        <v>0</v>
      </c>
      <c r="K2869">
        <v>0</v>
      </c>
      <c r="L2869">
        <v>0</v>
      </c>
    </row>
    <row r="2870" spans="1:12" x14ac:dyDescent="0.25">
      <c r="A2870" t="str">
        <f t="shared" si="44"/>
        <v>9001103191032026M09</v>
      </c>
      <c r="B2870">
        <v>51321001</v>
      </c>
      <c r="C2870">
        <v>31</v>
      </c>
      <c r="D2870">
        <v>900110</v>
      </c>
      <c r="E2870">
        <v>319103</v>
      </c>
      <c r="F2870" t="s">
        <v>115</v>
      </c>
      <c r="G2870" t="s">
        <v>71</v>
      </c>
      <c r="H2870">
        <v>46769.02</v>
      </c>
      <c r="I2870">
        <v>46769.02</v>
      </c>
      <c r="J2870">
        <v>0</v>
      </c>
      <c r="K2870">
        <v>0</v>
      </c>
      <c r="L2870">
        <v>0</v>
      </c>
    </row>
    <row r="2871" spans="1:12" x14ac:dyDescent="0.25">
      <c r="A2871" t="str">
        <f t="shared" si="44"/>
        <v>9001103191032026M10</v>
      </c>
      <c r="B2871">
        <v>51321001</v>
      </c>
      <c r="C2871">
        <v>31</v>
      </c>
      <c r="D2871">
        <v>900110</v>
      </c>
      <c r="E2871">
        <v>319103</v>
      </c>
      <c r="F2871" t="s">
        <v>115</v>
      </c>
      <c r="G2871" t="s">
        <v>72</v>
      </c>
      <c r="H2871">
        <v>46777.84</v>
      </c>
      <c r="I2871">
        <v>46769.02</v>
      </c>
      <c r="J2871">
        <v>8.82</v>
      </c>
      <c r="K2871">
        <v>0</v>
      </c>
      <c r="L2871">
        <v>0</v>
      </c>
    </row>
    <row r="2872" spans="1:12" x14ac:dyDescent="0.25">
      <c r="A2872" t="str">
        <f t="shared" si="44"/>
        <v>9001103191032026M11</v>
      </c>
      <c r="B2872">
        <v>51321001</v>
      </c>
      <c r="C2872">
        <v>31</v>
      </c>
      <c r="D2872">
        <v>900110</v>
      </c>
      <c r="E2872">
        <v>319103</v>
      </c>
      <c r="F2872" t="s">
        <v>115</v>
      </c>
      <c r="G2872" t="s">
        <v>73</v>
      </c>
      <c r="H2872">
        <v>46770</v>
      </c>
      <c r="I2872">
        <v>0</v>
      </c>
      <c r="J2872">
        <v>46770</v>
      </c>
      <c r="K2872">
        <v>0</v>
      </c>
      <c r="L2872">
        <v>0</v>
      </c>
    </row>
    <row r="2873" spans="1:12" x14ac:dyDescent="0.25">
      <c r="A2873" t="str">
        <f t="shared" si="44"/>
        <v>9001103191032026M12</v>
      </c>
      <c r="B2873">
        <v>51321001</v>
      </c>
      <c r="C2873">
        <v>31</v>
      </c>
      <c r="D2873">
        <v>900110</v>
      </c>
      <c r="E2873">
        <v>319103</v>
      </c>
      <c r="F2873" t="s">
        <v>115</v>
      </c>
      <c r="G2873" t="s">
        <v>74</v>
      </c>
      <c r="H2873">
        <v>93529</v>
      </c>
      <c r="I2873">
        <v>0</v>
      </c>
      <c r="J2873">
        <v>93529</v>
      </c>
      <c r="K2873">
        <v>0</v>
      </c>
      <c r="L2873">
        <v>0</v>
      </c>
    </row>
    <row r="2874" spans="1:12" x14ac:dyDescent="0.25">
      <c r="A2874" t="str">
        <f t="shared" si="44"/>
        <v>9001103191042026M02</v>
      </c>
      <c r="B2874">
        <v>51321001</v>
      </c>
      <c r="C2874">
        <v>31</v>
      </c>
      <c r="D2874">
        <v>900110</v>
      </c>
      <c r="E2874">
        <v>319104</v>
      </c>
      <c r="F2874" t="s">
        <v>115</v>
      </c>
      <c r="G2874" t="s">
        <v>64</v>
      </c>
      <c r="H2874">
        <v>0</v>
      </c>
      <c r="I2874">
        <v>0</v>
      </c>
      <c r="J2874">
        <v>0</v>
      </c>
      <c r="K2874">
        <v>0</v>
      </c>
      <c r="L2874">
        <v>0</v>
      </c>
    </row>
    <row r="2875" spans="1:12" x14ac:dyDescent="0.25">
      <c r="A2875" t="str">
        <f t="shared" si="44"/>
        <v>9001103191042026M03</v>
      </c>
      <c r="B2875">
        <v>51321001</v>
      </c>
      <c r="C2875">
        <v>31</v>
      </c>
      <c r="D2875">
        <v>900110</v>
      </c>
      <c r="E2875">
        <v>319104</v>
      </c>
      <c r="F2875" t="s">
        <v>115</v>
      </c>
      <c r="G2875" t="s">
        <v>65</v>
      </c>
      <c r="H2875">
        <v>0</v>
      </c>
      <c r="I2875">
        <v>0</v>
      </c>
      <c r="J2875">
        <v>0</v>
      </c>
      <c r="K2875">
        <v>0</v>
      </c>
      <c r="L2875">
        <v>0</v>
      </c>
    </row>
    <row r="2876" spans="1:12" x14ac:dyDescent="0.25">
      <c r="A2876" t="str">
        <f t="shared" si="44"/>
        <v>9001103191042026M04</v>
      </c>
      <c r="B2876">
        <v>51321001</v>
      </c>
      <c r="C2876">
        <v>31</v>
      </c>
      <c r="D2876">
        <v>900110</v>
      </c>
      <c r="E2876">
        <v>319104</v>
      </c>
      <c r="F2876" t="s">
        <v>115</v>
      </c>
      <c r="G2876" t="s">
        <v>66</v>
      </c>
      <c r="H2876">
        <v>903491.52</v>
      </c>
      <c r="I2876">
        <v>903491.52</v>
      </c>
      <c r="J2876">
        <v>0</v>
      </c>
      <c r="K2876">
        <v>0</v>
      </c>
      <c r="L2876">
        <v>0</v>
      </c>
    </row>
    <row r="2877" spans="1:12" x14ac:dyDescent="0.25">
      <c r="A2877" t="str">
        <f t="shared" si="44"/>
        <v>9001103191042026M05</v>
      </c>
      <c r="B2877">
        <v>51321001</v>
      </c>
      <c r="C2877">
        <v>31</v>
      </c>
      <c r="D2877">
        <v>900110</v>
      </c>
      <c r="E2877">
        <v>319104</v>
      </c>
      <c r="F2877" t="s">
        <v>115</v>
      </c>
      <c r="G2877" t="s">
        <v>67</v>
      </c>
      <c r="H2877">
        <v>0</v>
      </c>
      <c r="I2877">
        <v>0</v>
      </c>
      <c r="J2877">
        <v>0</v>
      </c>
      <c r="K2877">
        <v>0</v>
      </c>
      <c r="L2877">
        <v>0</v>
      </c>
    </row>
    <row r="2878" spans="1:12" x14ac:dyDescent="0.25">
      <c r="A2878" t="str">
        <f t="shared" si="44"/>
        <v>9001103191042026M06</v>
      </c>
      <c r="B2878">
        <v>51321001</v>
      </c>
      <c r="C2878">
        <v>31</v>
      </c>
      <c r="D2878">
        <v>900110</v>
      </c>
      <c r="E2878">
        <v>319104</v>
      </c>
      <c r="F2878" t="s">
        <v>115</v>
      </c>
      <c r="G2878" t="s">
        <v>68</v>
      </c>
      <c r="H2878">
        <v>451745.76</v>
      </c>
      <c r="I2878">
        <v>451745.76</v>
      </c>
      <c r="J2878">
        <v>0</v>
      </c>
      <c r="K2878">
        <v>0</v>
      </c>
      <c r="L2878">
        <v>0</v>
      </c>
    </row>
    <row r="2879" spans="1:12" x14ac:dyDescent="0.25">
      <c r="A2879" t="str">
        <f t="shared" si="44"/>
        <v>9001103191042026M07</v>
      </c>
      <c r="B2879">
        <v>51321001</v>
      </c>
      <c r="C2879">
        <v>31</v>
      </c>
      <c r="D2879">
        <v>900110</v>
      </c>
      <c r="E2879">
        <v>319104</v>
      </c>
      <c r="F2879" t="s">
        <v>115</v>
      </c>
      <c r="G2879" t="s">
        <v>69</v>
      </c>
      <c r="H2879">
        <v>903491.52</v>
      </c>
      <c r="I2879">
        <v>903491.52</v>
      </c>
      <c r="J2879">
        <v>0</v>
      </c>
      <c r="K2879">
        <v>0</v>
      </c>
      <c r="L2879">
        <v>0</v>
      </c>
    </row>
    <row r="2880" spans="1:12" x14ac:dyDescent="0.25">
      <c r="A2880" t="str">
        <f t="shared" si="44"/>
        <v>9001103191042026M08</v>
      </c>
      <c r="B2880">
        <v>51321001</v>
      </c>
      <c r="C2880">
        <v>31</v>
      </c>
      <c r="D2880">
        <v>900110</v>
      </c>
      <c r="E2880">
        <v>319104</v>
      </c>
      <c r="F2880" t="s">
        <v>115</v>
      </c>
      <c r="G2880" t="s">
        <v>70</v>
      </c>
      <c r="H2880">
        <v>0</v>
      </c>
      <c r="I2880">
        <v>0</v>
      </c>
      <c r="J2880">
        <v>0</v>
      </c>
      <c r="K2880">
        <v>0</v>
      </c>
      <c r="L2880">
        <v>0</v>
      </c>
    </row>
    <row r="2881" spans="1:12" x14ac:dyDescent="0.25">
      <c r="A2881" t="str">
        <f t="shared" si="44"/>
        <v>9001103191042026M09</v>
      </c>
      <c r="B2881">
        <v>51321001</v>
      </c>
      <c r="C2881">
        <v>31</v>
      </c>
      <c r="D2881">
        <v>900110</v>
      </c>
      <c r="E2881">
        <v>319104</v>
      </c>
      <c r="F2881" t="s">
        <v>115</v>
      </c>
      <c r="G2881" t="s">
        <v>71</v>
      </c>
      <c r="H2881">
        <v>1355237.28</v>
      </c>
      <c r="I2881">
        <v>1355237.28</v>
      </c>
      <c r="J2881">
        <v>0</v>
      </c>
      <c r="K2881">
        <v>0</v>
      </c>
      <c r="L2881">
        <v>0</v>
      </c>
    </row>
    <row r="2882" spans="1:12" x14ac:dyDescent="0.25">
      <c r="A2882" t="str">
        <f t="shared" si="44"/>
        <v>9001103191042026M10</v>
      </c>
      <c r="B2882">
        <v>51321001</v>
      </c>
      <c r="C2882">
        <v>31</v>
      </c>
      <c r="D2882">
        <v>900110</v>
      </c>
      <c r="E2882">
        <v>319104</v>
      </c>
      <c r="F2882" t="s">
        <v>115</v>
      </c>
      <c r="G2882" t="s">
        <v>72</v>
      </c>
      <c r="H2882">
        <v>451747.92</v>
      </c>
      <c r="I2882">
        <v>451745.76</v>
      </c>
      <c r="J2882">
        <v>2.16</v>
      </c>
      <c r="K2882">
        <v>0</v>
      </c>
      <c r="L2882">
        <v>0</v>
      </c>
    </row>
    <row r="2883" spans="1:12" x14ac:dyDescent="0.25">
      <c r="A2883" t="str">
        <f t="shared" si="44"/>
        <v>9001103191042026M11</v>
      </c>
      <c r="B2883">
        <v>51321001</v>
      </c>
      <c r="C2883">
        <v>31</v>
      </c>
      <c r="D2883">
        <v>900110</v>
      </c>
      <c r="E2883">
        <v>319104</v>
      </c>
      <c r="F2883" t="s">
        <v>115</v>
      </c>
      <c r="G2883" t="s">
        <v>73</v>
      </c>
      <c r="H2883">
        <v>451746</v>
      </c>
      <c r="I2883">
        <v>0</v>
      </c>
      <c r="J2883">
        <v>451746</v>
      </c>
      <c r="K2883">
        <v>0</v>
      </c>
      <c r="L2883">
        <v>0</v>
      </c>
    </row>
    <row r="2884" spans="1:12" x14ac:dyDescent="0.25">
      <c r="A2884" t="str">
        <f t="shared" si="44"/>
        <v>9001103191042026M12</v>
      </c>
      <c r="B2884">
        <v>51321001</v>
      </c>
      <c r="C2884">
        <v>31</v>
      </c>
      <c r="D2884">
        <v>900110</v>
      </c>
      <c r="E2884">
        <v>319104</v>
      </c>
      <c r="F2884" t="s">
        <v>115</v>
      </c>
      <c r="G2884" t="s">
        <v>74</v>
      </c>
      <c r="H2884">
        <v>903490</v>
      </c>
      <c r="I2884">
        <v>0</v>
      </c>
      <c r="J2884">
        <v>903490</v>
      </c>
      <c r="K2884">
        <v>0</v>
      </c>
      <c r="L2884">
        <v>0</v>
      </c>
    </row>
    <row r="2885" spans="1:12" x14ac:dyDescent="0.25">
      <c r="A2885" t="str">
        <f t="shared" si="44"/>
        <v>9101203104012026M02</v>
      </c>
      <c r="B2885">
        <v>51321001</v>
      </c>
      <c r="C2885">
        <v>31</v>
      </c>
      <c r="D2885">
        <v>910120</v>
      </c>
      <c r="E2885">
        <v>310401</v>
      </c>
      <c r="F2885" t="s">
        <v>115</v>
      </c>
      <c r="G2885" t="s">
        <v>64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x14ac:dyDescent="0.25">
      <c r="A2886" t="str">
        <f t="shared" si="44"/>
        <v>9101203104012026M03</v>
      </c>
      <c r="B2886">
        <v>51321001</v>
      </c>
      <c r="C2886">
        <v>31</v>
      </c>
      <c r="D2886">
        <v>910120</v>
      </c>
      <c r="E2886">
        <v>310401</v>
      </c>
      <c r="F2886" t="s">
        <v>115</v>
      </c>
      <c r="G2886" t="s">
        <v>65</v>
      </c>
      <c r="H2886">
        <v>0</v>
      </c>
      <c r="I2886">
        <v>0</v>
      </c>
      <c r="J2886">
        <v>0</v>
      </c>
      <c r="K2886">
        <v>0</v>
      </c>
      <c r="L2886">
        <v>0</v>
      </c>
    </row>
    <row r="2887" spans="1:12" x14ac:dyDescent="0.25">
      <c r="A2887" t="str">
        <f t="shared" si="44"/>
        <v>9101203104012026M04</v>
      </c>
      <c r="B2887">
        <v>51321001</v>
      </c>
      <c r="C2887">
        <v>31</v>
      </c>
      <c r="D2887">
        <v>910120</v>
      </c>
      <c r="E2887">
        <v>310401</v>
      </c>
      <c r="F2887" t="s">
        <v>115</v>
      </c>
      <c r="G2887" t="s">
        <v>66</v>
      </c>
      <c r="H2887">
        <v>12336.62</v>
      </c>
      <c r="I2887">
        <v>12336.62</v>
      </c>
      <c r="J2887">
        <v>0</v>
      </c>
      <c r="K2887">
        <v>0</v>
      </c>
      <c r="L2887">
        <v>0</v>
      </c>
    </row>
    <row r="2888" spans="1:12" x14ac:dyDescent="0.25">
      <c r="A2888" t="str">
        <f t="shared" si="44"/>
        <v>9101203104012026M05</v>
      </c>
      <c r="B2888">
        <v>51321001</v>
      </c>
      <c r="C2888">
        <v>31</v>
      </c>
      <c r="D2888">
        <v>910120</v>
      </c>
      <c r="E2888">
        <v>310401</v>
      </c>
      <c r="F2888" t="s">
        <v>115</v>
      </c>
      <c r="G2888" t="s">
        <v>67</v>
      </c>
      <c r="H2888">
        <v>4112.2</v>
      </c>
      <c r="I2888">
        <v>4112.2</v>
      </c>
      <c r="J2888">
        <v>0</v>
      </c>
      <c r="K2888">
        <v>0</v>
      </c>
      <c r="L2888">
        <v>0</v>
      </c>
    </row>
    <row r="2889" spans="1:12" x14ac:dyDescent="0.25">
      <c r="A2889" t="str">
        <f t="shared" si="44"/>
        <v>9101203104012026M06</v>
      </c>
      <c r="B2889">
        <v>51321001</v>
      </c>
      <c r="C2889">
        <v>31</v>
      </c>
      <c r="D2889">
        <v>910120</v>
      </c>
      <c r="E2889">
        <v>310401</v>
      </c>
      <c r="F2889" t="s">
        <v>115</v>
      </c>
      <c r="G2889" t="s">
        <v>68</v>
      </c>
      <c r="H2889">
        <v>0</v>
      </c>
      <c r="I2889">
        <v>0</v>
      </c>
      <c r="J2889">
        <v>0</v>
      </c>
      <c r="K2889">
        <v>0</v>
      </c>
      <c r="L2889">
        <v>0</v>
      </c>
    </row>
    <row r="2890" spans="1:12" x14ac:dyDescent="0.25">
      <c r="A2890" t="str">
        <f t="shared" si="44"/>
        <v>9101203104012026M07</v>
      </c>
      <c r="B2890">
        <v>51321001</v>
      </c>
      <c r="C2890">
        <v>31</v>
      </c>
      <c r="D2890">
        <v>910120</v>
      </c>
      <c r="E2890">
        <v>310401</v>
      </c>
      <c r="F2890" t="s">
        <v>115</v>
      </c>
      <c r="G2890" t="s">
        <v>69</v>
      </c>
      <c r="H2890">
        <v>8224.42</v>
      </c>
      <c r="I2890">
        <v>8224.42</v>
      </c>
      <c r="J2890">
        <v>0</v>
      </c>
      <c r="K2890">
        <v>0</v>
      </c>
      <c r="L2890">
        <v>0</v>
      </c>
    </row>
    <row r="2891" spans="1:12" x14ac:dyDescent="0.25">
      <c r="A2891" t="str">
        <f t="shared" ref="A2891:A2954" si="45">D2891&amp;E2891&amp;G2891</f>
        <v>9101203104012026M08</v>
      </c>
      <c r="B2891">
        <v>51321001</v>
      </c>
      <c r="C2891">
        <v>31</v>
      </c>
      <c r="D2891">
        <v>910120</v>
      </c>
      <c r="E2891">
        <v>310401</v>
      </c>
      <c r="F2891" t="s">
        <v>115</v>
      </c>
      <c r="G2891" t="s">
        <v>70</v>
      </c>
      <c r="H2891">
        <v>4112.2</v>
      </c>
      <c r="I2891">
        <v>4112.2</v>
      </c>
      <c r="J2891">
        <v>0</v>
      </c>
      <c r="K2891">
        <v>0</v>
      </c>
      <c r="L2891">
        <v>0</v>
      </c>
    </row>
    <row r="2892" spans="1:12" x14ac:dyDescent="0.25">
      <c r="A2892" t="str">
        <f t="shared" si="45"/>
        <v>9101203104012026M09</v>
      </c>
      <c r="B2892">
        <v>51321001</v>
      </c>
      <c r="C2892">
        <v>31</v>
      </c>
      <c r="D2892">
        <v>910120</v>
      </c>
      <c r="E2892">
        <v>310401</v>
      </c>
      <c r="F2892" t="s">
        <v>115</v>
      </c>
      <c r="G2892" t="s">
        <v>71</v>
      </c>
      <c r="H2892">
        <v>4112.2</v>
      </c>
      <c r="I2892">
        <v>4112.2</v>
      </c>
      <c r="J2892">
        <v>0</v>
      </c>
      <c r="K2892">
        <v>0</v>
      </c>
      <c r="L2892">
        <v>0</v>
      </c>
    </row>
    <row r="2893" spans="1:12" x14ac:dyDescent="0.25">
      <c r="A2893" t="str">
        <f t="shared" si="45"/>
        <v>9101203104012026M10</v>
      </c>
      <c r="B2893">
        <v>51321001</v>
      </c>
      <c r="C2893">
        <v>31</v>
      </c>
      <c r="D2893">
        <v>910120</v>
      </c>
      <c r="E2893">
        <v>310401</v>
      </c>
      <c r="F2893" t="s">
        <v>115</v>
      </c>
      <c r="G2893" t="s">
        <v>72</v>
      </c>
      <c r="H2893">
        <v>4119.3599999999997</v>
      </c>
      <c r="I2893">
        <v>4112.2</v>
      </c>
      <c r="J2893">
        <v>7.16</v>
      </c>
      <c r="K2893">
        <v>0</v>
      </c>
      <c r="L2893">
        <v>0</v>
      </c>
    </row>
    <row r="2894" spans="1:12" x14ac:dyDescent="0.25">
      <c r="A2894" t="str">
        <f t="shared" si="45"/>
        <v>9101203104012026M11</v>
      </c>
      <c r="B2894">
        <v>51321001</v>
      </c>
      <c r="C2894">
        <v>31</v>
      </c>
      <c r="D2894">
        <v>910120</v>
      </c>
      <c r="E2894">
        <v>310401</v>
      </c>
      <c r="F2894" t="s">
        <v>115</v>
      </c>
      <c r="G2894" t="s">
        <v>73</v>
      </c>
      <c r="H2894">
        <v>4113</v>
      </c>
      <c r="I2894">
        <v>0</v>
      </c>
      <c r="J2894">
        <v>4113</v>
      </c>
      <c r="K2894">
        <v>0</v>
      </c>
      <c r="L2894">
        <v>0</v>
      </c>
    </row>
    <row r="2895" spans="1:12" x14ac:dyDescent="0.25">
      <c r="A2895" t="str">
        <f t="shared" si="45"/>
        <v>9101203104012026M12</v>
      </c>
      <c r="B2895">
        <v>51321001</v>
      </c>
      <c r="C2895">
        <v>31</v>
      </c>
      <c r="D2895">
        <v>910120</v>
      </c>
      <c r="E2895">
        <v>310401</v>
      </c>
      <c r="F2895" t="s">
        <v>115</v>
      </c>
      <c r="G2895" t="s">
        <v>74</v>
      </c>
      <c r="H2895">
        <v>8217</v>
      </c>
      <c r="I2895">
        <v>0</v>
      </c>
      <c r="J2895">
        <v>8217</v>
      </c>
      <c r="K2895">
        <v>0</v>
      </c>
      <c r="L2895">
        <v>0</v>
      </c>
    </row>
    <row r="2896" spans="1:12" x14ac:dyDescent="0.25">
      <c r="A2896" t="str">
        <f t="shared" si="45"/>
        <v>501003290012026M02</v>
      </c>
      <c r="B2896">
        <v>51321001</v>
      </c>
      <c r="C2896">
        <v>32</v>
      </c>
      <c r="D2896">
        <v>50100</v>
      </c>
      <c r="E2896">
        <v>329001</v>
      </c>
      <c r="F2896" t="s">
        <v>115</v>
      </c>
      <c r="G2896" t="s">
        <v>64</v>
      </c>
      <c r="H2896">
        <v>0</v>
      </c>
      <c r="I2896">
        <v>0</v>
      </c>
      <c r="J2896">
        <v>0</v>
      </c>
      <c r="K2896">
        <v>0</v>
      </c>
      <c r="L2896">
        <v>0</v>
      </c>
    </row>
    <row r="2897" spans="1:12" x14ac:dyDescent="0.25">
      <c r="A2897" t="str">
        <f t="shared" si="45"/>
        <v>501003290012026M03</v>
      </c>
      <c r="B2897">
        <v>51321001</v>
      </c>
      <c r="C2897">
        <v>32</v>
      </c>
      <c r="D2897">
        <v>50100</v>
      </c>
      <c r="E2897">
        <v>329001</v>
      </c>
      <c r="F2897" t="s">
        <v>115</v>
      </c>
      <c r="G2897" t="s">
        <v>65</v>
      </c>
      <c r="H2897">
        <v>34000</v>
      </c>
      <c r="I2897">
        <v>34000</v>
      </c>
      <c r="J2897">
        <v>0</v>
      </c>
      <c r="K2897">
        <v>0</v>
      </c>
      <c r="L2897">
        <v>0</v>
      </c>
    </row>
    <row r="2898" spans="1:12" x14ac:dyDescent="0.25">
      <c r="A2898" t="str">
        <f t="shared" si="45"/>
        <v>501003290012026M04</v>
      </c>
      <c r="B2898">
        <v>51321001</v>
      </c>
      <c r="C2898">
        <v>32</v>
      </c>
      <c r="D2898">
        <v>50100</v>
      </c>
      <c r="E2898">
        <v>329001</v>
      </c>
      <c r="F2898" t="s">
        <v>115</v>
      </c>
      <c r="G2898" t="s">
        <v>66</v>
      </c>
      <c r="H2898">
        <v>17000</v>
      </c>
      <c r="I2898">
        <v>17000</v>
      </c>
      <c r="J2898">
        <v>0</v>
      </c>
      <c r="K2898">
        <v>0</v>
      </c>
      <c r="L2898">
        <v>0</v>
      </c>
    </row>
    <row r="2899" spans="1:12" x14ac:dyDescent="0.25">
      <c r="A2899" t="str">
        <f t="shared" si="45"/>
        <v>501003290012026M05</v>
      </c>
      <c r="B2899">
        <v>51321001</v>
      </c>
      <c r="C2899">
        <v>32</v>
      </c>
      <c r="D2899">
        <v>50100</v>
      </c>
      <c r="E2899">
        <v>329001</v>
      </c>
      <c r="F2899" t="s">
        <v>115</v>
      </c>
      <c r="G2899" t="s">
        <v>67</v>
      </c>
      <c r="H2899">
        <v>17000</v>
      </c>
      <c r="I2899">
        <v>17000</v>
      </c>
      <c r="J2899">
        <v>0</v>
      </c>
      <c r="K2899">
        <v>0</v>
      </c>
      <c r="L2899">
        <v>0</v>
      </c>
    </row>
    <row r="2900" spans="1:12" x14ac:dyDescent="0.25">
      <c r="A2900" t="str">
        <f t="shared" si="45"/>
        <v>501003290012026M06</v>
      </c>
      <c r="B2900">
        <v>51321001</v>
      </c>
      <c r="C2900">
        <v>32</v>
      </c>
      <c r="D2900">
        <v>50100</v>
      </c>
      <c r="E2900">
        <v>329001</v>
      </c>
      <c r="F2900" t="s">
        <v>115</v>
      </c>
      <c r="G2900" t="s">
        <v>68</v>
      </c>
      <c r="H2900">
        <v>17000</v>
      </c>
      <c r="I2900">
        <v>17000</v>
      </c>
      <c r="J2900">
        <v>0</v>
      </c>
      <c r="K2900">
        <v>0</v>
      </c>
      <c r="L2900">
        <v>0</v>
      </c>
    </row>
    <row r="2901" spans="1:12" x14ac:dyDescent="0.25">
      <c r="A2901" t="str">
        <f t="shared" si="45"/>
        <v>501003290012026M07</v>
      </c>
      <c r="B2901">
        <v>51321001</v>
      </c>
      <c r="C2901">
        <v>32</v>
      </c>
      <c r="D2901">
        <v>50100</v>
      </c>
      <c r="E2901">
        <v>329001</v>
      </c>
      <c r="F2901" t="s">
        <v>115</v>
      </c>
      <c r="G2901" t="s">
        <v>69</v>
      </c>
      <c r="H2901">
        <v>17000</v>
      </c>
      <c r="I2901">
        <v>17000</v>
      </c>
      <c r="J2901">
        <v>0</v>
      </c>
      <c r="K2901">
        <v>0</v>
      </c>
      <c r="L2901">
        <v>0</v>
      </c>
    </row>
    <row r="2902" spans="1:12" x14ac:dyDescent="0.25">
      <c r="A2902" t="str">
        <f t="shared" si="45"/>
        <v>501003290012026M08</v>
      </c>
      <c r="B2902">
        <v>51321001</v>
      </c>
      <c r="C2902">
        <v>32</v>
      </c>
      <c r="D2902">
        <v>50100</v>
      </c>
      <c r="E2902">
        <v>329001</v>
      </c>
      <c r="F2902" t="s">
        <v>115</v>
      </c>
      <c r="G2902" t="s">
        <v>70</v>
      </c>
      <c r="H2902">
        <v>17000</v>
      </c>
      <c r="I2902">
        <v>17000</v>
      </c>
      <c r="J2902">
        <v>0</v>
      </c>
      <c r="K2902">
        <v>0</v>
      </c>
      <c r="L2902">
        <v>0</v>
      </c>
    </row>
    <row r="2903" spans="1:12" x14ac:dyDescent="0.25">
      <c r="A2903" t="str">
        <f t="shared" si="45"/>
        <v>501003290012026M09</v>
      </c>
      <c r="B2903">
        <v>51321001</v>
      </c>
      <c r="C2903">
        <v>32</v>
      </c>
      <c r="D2903">
        <v>50100</v>
      </c>
      <c r="E2903">
        <v>329001</v>
      </c>
      <c r="F2903" t="s">
        <v>115</v>
      </c>
      <c r="G2903" t="s">
        <v>71</v>
      </c>
      <c r="H2903">
        <v>17000</v>
      </c>
      <c r="I2903">
        <v>17000</v>
      </c>
      <c r="J2903">
        <v>0</v>
      </c>
      <c r="K2903">
        <v>0</v>
      </c>
      <c r="L2903">
        <v>0</v>
      </c>
    </row>
    <row r="2904" spans="1:12" x14ac:dyDescent="0.25">
      <c r="A2904" t="str">
        <f t="shared" si="45"/>
        <v>501003290012026M10</v>
      </c>
      <c r="B2904">
        <v>51321001</v>
      </c>
      <c r="C2904">
        <v>32</v>
      </c>
      <c r="D2904">
        <v>50100</v>
      </c>
      <c r="E2904">
        <v>329001</v>
      </c>
      <c r="F2904" t="s">
        <v>115</v>
      </c>
      <c r="G2904" t="s">
        <v>72</v>
      </c>
      <c r="H2904">
        <v>17000</v>
      </c>
      <c r="I2904">
        <v>17000</v>
      </c>
      <c r="J2904">
        <v>0</v>
      </c>
      <c r="K2904">
        <v>0</v>
      </c>
      <c r="L2904">
        <v>0</v>
      </c>
    </row>
    <row r="2905" spans="1:12" x14ac:dyDescent="0.25">
      <c r="A2905" t="str">
        <f t="shared" si="45"/>
        <v>501003290012026M11</v>
      </c>
      <c r="B2905">
        <v>51321001</v>
      </c>
      <c r="C2905">
        <v>32</v>
      </c>
      <c r="D2905">
        <v>50100</v>
      </c>
      <c r="E2905">
        <v>329001</v>
      </c>
      <c r="F2905" t="s">
        <v>115</v>
      </c>
      <c r="G2905" t="s">
        <v>73</v>
      </c>
      <c r="H2905">
        <v>17000</v>
      </c>
      <c r="I2905">
        <v>0</v>
      </c>
      <c r="J2905">
        <v>17000</v>
      </c>
      <c r="K2905">
        <v>0</v>
      </c>
      <c r="L2905">
        <v>0</v>
      </c>
    </row>
    <row r="2906" spans="1:12" x14ac:dyDescent="0.25">
      <c r="A2906" t="str">
        <f t="shared" si="45"/>
        <v>501003290012026M12</v>
      </c>
      <c r="B2906">
        <v>51321001</v>
      </c>
      <c r="C2906">
        <v>32</v>
      </c>
      <c r="D2906">
        <v>50100</v>
      </c>
      <c r="E2906">
        <v>329001</v>
      </c>
      <c r="F2906" t="s">
        <v>115</v>
      </c>
      <c r="G2906" t="s">
        <v>74</v>
      </c>
      <c r="H2906">
        <v>34000</v>
      </c>
      <c r="I2906">
        <v>0</v>
      </c>
      <c r="J2906">
        <v>34000</v>
      </c>
      <c r="K2906">
        <v>0</v>
      </c>
      <c r="L2906">
        <v>0</v>
      </c>
    </row>
    <row r="2907" spans="1:12" x14ac:dyDescent="0.25">
      <c r="A2907" t="str">
        <f t="shared" si="45"/>
        <v>731103293012026M02</v>
      </c>
      <c r="B2907">
        <v>51321001</v>
      </c>
      <c r="C2907">
        <v>32</v>
      </c>
      <c r="D2907">
        <v>73110</v>
      </c>
      <c r="E2907">
        <v>329301</v>
      </c>
      <c r="F2907" t="s">
        <v>115</v>
      </c>
      <c r="G2907" t="s">
        <v>64</v>
      </c>
      <c r="H2907">
        <v>0</v>
      </c>
      <c r="I2907">
        <v>0</v>
      </c>
      <c r="J2907">
        <v>0</v>
      </c>
      <c r="K2907">
        <v>0</v>
      </c>
      <c r="L2907">
        <v>0</v>
      </c>
    </row>
    <row r="2908" spans="1:12" x14ac:dyDescent="0.25">
      <c r="A2908" t="str">
        <f t="shared" si="45"/>
        <v>731103293012026M03</v>
      </c>
      <c r="B2908">
        <v>51321001</v>
      </c>
      <c r="C2908">
        <v>32</v>
      </c>
      <c r="D2908">
        <v>73110</v>
      </c>
      <c r="E2908">
        <v>329301</v>
      </c>
      <c r="F2908" t="s">
        <v>115</v>
      </c>
      <c r="G2908" t="s">
        <v>65</v>
      </c>
      <c r="H2908">
        <v>27840</v>
      </c>
      <c r="I2908">
        <v>27840</v>
      </c>
      <c r="J2908">
        <v>0</v>
      </c>
      <c r="K2908">
        <v>0</v>
      </c>
      <c r="L2908">
        <v>0</v>
      </c>
    </row>
    <row r="2909" spans="1:12" x14ac:dyDescent="0.25">
      <c r="A2909" t="str">
        <f t="shared" si="45"/>
        <v>731103293012026M04</v>
      </c>
      <c r="B2909">
        <v>51321001</v>
      </c>
      <c r="C2909">
        <v>32</v>
      </c>
      <c r="D2909">
        <v>73110</v>
      </c>
      <c r="E2909">
        <v>329301</v>
      </c>
      <c r="F2909" t="s">
        <v>115</v>
      </c>
      <c r="G2909" t="s">
        <v>66</v>
      </c>
      <c r="H2909">
        <v>13920</v>
      </c>
      <c r="I2909">
        <v>13920</v>
      </c>
      <c r="J2909">
        <v>0</v>
      </c>
      <c r="K2909">
        <v>0</v>
      </c>
      <c r="L2909">
        <v>0</v>
      </c>
    </row>
    <row r="2910" spans="1:12" x14ac:dyDescent="0.25">
      <c r="A2910" t="str">
        <f t="shared" si="45"/>
        <v>731103293012026M05</v>
      </c>
      <c r="B2910">
        <v>51321001</v>
      </c>
      <c r="C2910">
        <v>32</v>
      </c>
      <c r="D2910">
        <v>73110</v>
      </c>
      <c r="E2910">
        <v>329301</v>
      </c>
      <c r="F2910" t="s">
        <v>115</v>
      </c>
      <c r="G2910" t="s">
        <v>67</v>
      </c>
      <c r="H2910">
        <v>13920</v>
      </c>
      <c r="I2910">
        <v>13920</v>
      </c>
      <c r="J2910">
        <v>0</v>
      </c>
      <c r="K2910">
        <v>0</v>
      </c>
      <c r="L2910">
        <v>0</v>
      </c>
    </row>
    <row r="2911" spans="1:12" x14ac:dyDescent="0.25">
      <c r="A2911" t="str">
        <f t="shared" si="45"/>
        <v>731103293012026M06</v>
      </c>
      <c r="B2911">
        <v>51321001</v>
      </c>
      <c r="C2911">
        <v>32</v>
      </c>
      <c r="D2911">
        <v>73110</v>
      </c>
      <c r="E2911">
        <v>329301</v>
      </c>
      <c r="F2911" t="s">
        <v>115</v>
      </c>
      <c r="G2911" t="s">
        <v>68</v>
      </c>
      <c r="H2911">
        <v>13920</v>
      </c>
      <c r="I2911">
        <v>13920</v>
      </c>
      <c r="J2911">
        <v>0</v>
      </c>
      <c r="K2911">
        <v>0</v>
      </c>
      <c r="L2911">
        <v>0</v>
      </c>
    </row>
    <row r="2912" spans="1:12" x14ac:dyDescent="0.25">
      <c r="A2912" t="str">
        <f t="shared" si="45"/>
        <v>731103293012026M07</v>
      </c>
      <c r="B2912">
        <v>51321001</v>
      </c>
      <c r="C2912">
        <v>32</v>
      </c>
      <c r="D2912">
        <v>73110</v>
      </c>
      <c r="E2912">
        <v>329301</v>
      </c>
      <c r="F2912" t="s">
        <v>115</v>
      </c>
      <c r="G2912" t="s">
        <v>69</v>
      </c>
      <c r="H2912">
        <v>0</v>
      </c>
      <c r="I2912">
        <v>0</v>
      </c>
      <c r="J2912">
        <v>0</v>
      </c>
      <c r="K2912">
        <v>0</v>
      </c>
      <c r="L2912">
        <v>0</v>
      </c>
    </row>
    <row r="2913" spans="1:12" x14ac:dyDescent="0.25">
      <c r="A2913" t="str">
        <f t="shared" si="45"/>
        <v>731103293012026M08</v>
      </c>
      <c r="B2913">
        <v>51321001</v>
      </c>
      <c r="C2913">
        <v>32</v>
      </c>
      <c r="D2913">
        <v>73110</v>
      </c>
      <c r="E2913">
        <v>329301</v>
      </c>
      <c r="F2913" t="s">
        <v>115</v>
      </c>
      <c r="G2913" t="s">
        <v>70</v>
      </c>
      <c r="H2913">
        <v>0</v>
      </c>
      <c r="I2913">
        <v>0</v>
      </c>
      <c r="J2913">
        <v>0</v>
      </c>
      <c r="K2913">
        <v>0</v>
      </c>
      <c r="L2913">
        <v>0</v>
      </c>
    </row>
    <row r="2914" spans="1:12" x14ac:dyDescent="0.25">
      <c r="A2914" t="str">
        <f t="shared" si="45"/>
        <v>731103293012026M09</v>
      </c>
      <c r="B2914">
        <v>51321001</v>
      </c>
      <c r="C2914">
        <v>32</v>
      </c>
      <c r="D2914">
        <v>73110</v>
      </c>
      <c r="E2914">
        <v>329301</v>
      </c>
      <c r="F2914" t="s">
        <v>115</v>
      </c>
      <c r="G2914" t="s">
        <v>71</v>
      </c>
      <c r="H2914">
        <v>0</v>
      </c>
      <c r="I2914">
        <v>0</v>
      </c>
      <c r="J2914">
        <v>0</v>
      </c>
      <c r="K2914">
        <v>0</v>
      </c>
      <c r="L2914">
        <v>0</v>
      </c>
    </row>
    <row r="2915" spans="1:12" x14ac:dyDescent="0.25">
      <c r="A2915" t="str">
        <f t="shared" si="45"/>
        <v>731103293012026M10</v>
      </c>
      <c r="B2915">
        <v>51321001</v>
      </c>
      <c r="C2915">
        <v>32</v>
      </c>
      <c r="D2915">
        <v>73110</v>
      </c>
      <c r="E2915">
        <v>329301</v>
      </c>
      <c r="F2915" t="s">
        <v>115</v>
      </c>
      <c r="G2915" t="s">
        <v>72</v>
      </c>
      <c r="H2915">
        <v>55680</v>
      </c>
      <c r="I2915">
        <v>0</v>
      </c>
      <c r="J2915">
        <v>0</v>
      </c>
      <c r="K2915">
        <v>0</v>
      </c>
      <c r="L2915">
        <v>55680</v>
      </c>
    </row>
    <row r="2916" spans="1:12" x14ac:dyDescent="0.25">
      <c r="A2916" t="str">
        <f t="shared" si="45"/>
        <v>731103293012026M11</v>
      </c>
      <c r="B2916">
        <v>51321001</v>
      </c>
      <c r="C2916">
        <v>32</v>
      </c>
      <c r="D2916">
        <v>73110</v>
      </c>
      <c r="E2916">
        <v>329301</v>
      </c>
      <c r="F2916" t="s">
        <v>115</v>
      </c>
      <c r="G2916" t="s">
        <v>73</v>
      </c>
      <c r="H2916">
        <v>13920</v>
      </c>
      <c r="I2916">
        <v>0</v>
      </c>
      <c r="J2916">
        <v>0</v>
      </c>
      <c r="K2916">
        <v>0</v>
      </c>
      <c r="L2916">
        <v>13920</v>
      </c>
    </row>
    <row r="2917" spans="1:12" x14ac:dyDescent="0.25">
      <c r="A2917" t="str">
        <f t="shared" si="45"/>
        <v>731103293012026M12</v>
      </c>
      <c r="B2917">
        <v>51321001</v>
      </c>
      <c r="C2917">
        <v>32</v>
      </c>
      <c r="D2917">
        <v>73110</v>
      </c>
      <c r="E2917">
        <v>329301</v>
      </c>
      <c r="F2917" t="s">
        <v>115</v>
      </c>
      <c r="G2917" t="s">
        <v>74</v>
      </c>
      <c r="H2917">
        <v>27840</v>
      </c>
      <c r="I2917">
        <v>0</v>
      </c>
      <c r="J2917">
        <v>0</v>
      </c>
      <c r="K2917">
        <v>0</v>
      </c>
      <c r="L2917">
        <v>27840</v>
      </c>
    </row>
    <row r="2918" spans="1:12" x14ac:dyDescent="0.25">
      <c r="A2918" t="str">
        <f t="shared" si="45"/>
        <v>1009023224432026M02</v>
      </c>
      <c r="B2918">
        <v>51321001</v>
      </c>
      <c r="C2918">
        <v>32</v>
      </c>
      <c r="D2918">
        <v>100902</v>
      </c>
      <c r="E2918">
        <v>322443</v>
      </c>
      <c r="F2918" t="s">
        <v>115</v>
      </c>
      <c r="G2918" t="s">
        <v>64</v>
      </c>
      <c r="H2918">
        <v>0</v>
      </c>
      <c r="I2918">
        <v>0</v>
      </c>
      <c r="J2918">
        <v>0</v>
      </c>
      <c r="K2918">
        <v>0</v>
      </c>
      <c r="L2918">
        <v>0</v>
      </c>
    </row>
    <row r="2919" spans="1:12" x14ac:dyDescent="0.25">
      <c r="A2919" t="str">
        <f t="shared" si="45"/>
        <v>1009023224432026M03</v>
      </c>
      <c r="B2919">
        <v>51321001</v>
      </c>
      <c r="C2919">
        <v>32</v>
      </c>
      <c r="D2919">
        <v>100902</v>
      </c>
      <c r="E2919">
        <v>322443</v>
      </c>
      <c r="F2919" t="s">
        <v>115</v>
      </c>
      <c r="G2919" t="s">
        <v>65</v>
      </c>
      <c r="H2919">
        <v>47787.86</v>
      </c>
      <c r="I2919">
        <v>47787.86</v>
      </c>
      <c r="J2919">
        <v>0</v>
      </c>
      <c r="K2919">
        <v>0</v>
      </c>
      <c r="L2919">
        <v>0</v>
      </c>
    </row>
    <row r="2920" spans="1:12" x14ac:dyDescent="0.25">
      <c r="A2920" t="str">
        <f t="shared" si="45"/>
        <v>1009023224432026M04</v>
      </c>
      <c r="B2920">
        <v>51321001</v>
      </c>
      <c r="C2920">
        <v>32</v>
      </c>
      <c r="D2920">
        <v>100902</v>
      </c>
      <c r="E2920">
        <v>322443</v>
      </c>
      <c r="F2920" t="s">
        <v>115</v>
      </c>
      <c r="G2920" t="s">
        <v>66</v>
      </c>
      <c r="H2920">
        <v>23893.93</v>
      </c>
      <c r="I2920">
        <v>23893.93</v>
      </c>
      <c r="J2920">
        <v>0</v>
      </c>
      <c r="K2920">
        <v>0</v>
      </c>
      <c r="L2920">
        <v>0</v>
      </c>
    </row>
    <row r="2921" spans="1:12" x14ac:dyDescent="0.25">
      <c r="A2921" t="str">
        <f t="shared" si="45"/>
        <v>1009023224432026M05</v>
      </c>
      <c r="B2921">
        <v>51321001</v>
      </c>
      <c r="C2921">
        <v>32</v>
      </c>
      <c r="D2921">
        <v>100902</v>
      </c>
      <c r="E2921">
        <v>322443</v>
      </c>
      <c r="F2921" t="s">
        <v>115</v>
      </c>
      <c r="G2921" t="s">
        <v>67</v>
      </c>
      <c r="H2921">
        <v>23893.93</v>
      </c>
      <c r="I2921">
        <v>23893.93</v>
      </c>
      <c r="J2921">
        <v>0</v>
      </c>
      <c r="K2921">
        <v>0</v>
      </c>
      <c r="L2921">
        <v>0</v>
      </c>
    </row>
    <row r="2922" spans="1:12" x14ac:dyDescent="0.25">
      <c r="A2922" t="str">
        <f t="shared" si="45"/>
        <v>1009023224432026M06</v>
      </c>
      <c r="B2922">
        <v>51321001</v>
      </c>
      <c r="C2922">
        <v>32</v>
      </c>
      <c r="D2922">
        <v>100902</v>
      </c>
      <c r="E2922">
        <v>322443</v>
      </c>
      <c r="F2922" t="s">
        <v>115</v>
      </c>
      <c r="G2922" t="s">
        <v>68</v>
      </c>
      <c r="H2922">
        <v>23893.93</v>
      </c>
      <c r="I2922">
        <v>23893.93</v>
      </c>
      <c r="J2922">
        <v>0</v>
      </c>
      <c r="K2922">
        <v>0</v>
      </c>
      <c r="L2922">
        <v>0</v>
      </c>
    </row>
    <row r="2923" spans="1:12" x14ac:dyDescent="0.25">
      <c r="A2923" t="str">
        <f t="shared" si="45"/>
        <v>1009023224432026M07</v>
      </c>
      <c r="B2923">
        <v>51321001</v>
      </c>
      <c r="C2923">
        <v>32</v>
      </c>
      <c r="D2923">
        <v>100902</v>
      </c>
      <c r="E2923">
        <v>322443</v>
      </c>
      <c r="F2923" t="s">
        <v>115</v>
      </c>
      <c r="G2923" t="s">
        <v>69</v>
      </c>
      <c r="H2923">
        <v>23893.93</v>
      </c>
      <c r="I2923">
        <v>23893.93</v>
      </c>
      <c r="J2923">
        <v>0</v>
      </c>
      <c r="K2923">
        <v>0</v>
      </c>
      <c r="L2923">
        <v>0</v>
      </c>
    </row>
    <row r="2924" spans="1:12" x14ac:dyDescent="0.25">
      <c r="A2924" t="str">
        <f t="shared" si="45"/>
        <v>1009023224432026M08</v>
      </c>
      <c r="B2924">
        <v>51321001</v>
      </c>
      <c r="C2924">
        <v>32</v>
      </c>
      <c r="D2924">
        <v>100902</v>
      </c>
      <c r="E2924">
        <v>322443</v>
      </c>
      <c r="F2924" t="s">
        <v>115</v>
      </c>
      <c r="G2924" t="s">
        <v>70</v>
      </c>
      <c r="H2924">
        <v>23893.93</v>
      </c>
      <c r="I2924">
        <v>23893.93</v>
      </c>
      <c r="J2924">
        <v>0</v>
      </c>
      <c r="K2924">
        <v>0</v>
      </c>
      <c r="L2924">
        <v>0</v>
      </c>
    </row>
    <row r="2925" spans="1:12" x14ac:dyDescent="0.25">
      <c r="A2925" t="str">
        <f t="shared" si="45"/>
        <v>1009023224432026M09</v>
      </c>
      <c r="B2925">
        <v>51321001</v>
      </c>
      <c r="C2925">
        <v>32</v>
      </c>
      <c r="D2925">
        <v>100902</v>
      </c>
      <c r="E2925">
        <v>322443</v>
      </c>
      <c r="F2925" t="s">
        <v>115</v>
      </c>
      <c r="G2925" t="s">
        <v>71</v>
      </c>
      <c r="H2925">
        <v>23893.93</v>
      </c>
      <c r="I2925">
        <v>23893.93</v>
      </c>
      <c r="J2925">
        <v>0</v>
      </c>
      <c r="K2925">
        <v>0</v>
      </c>
      <c r="L2925">
        <v>0</v>
      </c>
    </row>
    <row r="2926" spans="1:12" x14ac:dyDescent="0.25">
      <c r="A2926" t="str">
        <f t="shared" si="45"/>
        <v>1009023224432026M10</v>
      </c>
      <c r="B2926">
        <v>51321001</v>
      </c>
      <c r="C2926">
        <v>32</v>
      </c>
      <c r="D2926">
        <v>100902</v>
      </c>
      <c r="E2926">
        <v>322443</v>
      </c>
      <c r="F2926" t="s">
        <v>115</v>
      </c>
      <c r="G2926" t="s">
        <v>72</v>
      </c>
      <c r="H2926">
        <v>23903.56</v>
      </c>
      <c r="I2926">
        <v>23893.93</v>
      </c>
      <c r="J2926">
        <v>9.6300000000000008</v>
      </c>
      <c r="K2926">
        <v>0</v>
      </c>
      <c r="L2926">
        <v>0</v>
      </c>
    </row>
    <row r="2927" spans="1:12" x14ac:dyDescent="0.25">
      <c r="A2927" t="str">
        <f t="shared" si="45"/>
        <v>1009023224432026M11</v>
      </c>
      <c r="B2927">
        <v>51321001</v>
      </c>
      <c r="C2927">
        <v>32</v>
      </c>
      <c r="D2927">
        <v>100902</v>
      </c>
      <c r="E2927">
        <v>322443</v>
      </c>
      <c r="F2927" t="s">
        <v>115</v>
      </c>
      <c r="G2927" t="s">
        <v>73</v>
      </c>
      <c r="H2927">
        <v>23895</v>
      </c>
      <c r="I2927">
        <v>0</v>
      </c>
      <c r="J2927">
        <v>23895</v>
      </c>
      <c r="K2927">
        <v>0</v>
      </c>
      <c r="L2927">
        <v>0</v>
      </c>
    </row>
    <row r="2928" spans="1:12" x14ac:dyDescent="0.25">
      <c r="A2928" t="str">
        <f t="shared" si="45"/>
        <v>1009023224432026M12</v>
      </c>
      <c r="B2928">
        <v>51321001</v>
      </c>
      <c r="C2928">
        <v>32</v>
      </c>
      <c r="D2928">
        <v>100902</v>
      </c>
      <c r="E2928">
        <v>322443</v>
      </c>
      <c r="F2928" t="s">
        <v>115</v>
      </c>
      <c r="G2928" t="s">
        <v>74</v>
      </c>
      <c r="H2928">
        <v>47788</v>
      </c>
      <c r="I2928">
        <v>0</v>
      </c>
      <c r="J2928">
        <v>47788</v>
      </c>
      <c r="K2928">
        <v>0</v>
      </c>
      <c r="L2928">
        <v>0</v>
      </c>
    </row>
    <row r="2929" spans="1:12" x14ac:dyDescent="0.25">
      <c r="A2929" t="str">
        <f t="shared" si="45"/>
        <v>1009023224472026M02</v>
      </c>
      <c r="B2929">
        <v>51321001</v>
      </c>
      <c r="C2929">
        <v>32</v>
      </c>
      <c r="D2929">
        <v>100902</v>
      </c>
      <c r="E2929">
        <v>322447</v>
      </c>
      <c r="F2929" t="s">
        <v>115</v>
      </c>
      <c r="G2929" t="s">
        <v>64</v>
      </c>
      <c r="H2929">
        <v>0</v>
      </c>
      <c r="I2929">
        <v>0</v>
      </c>
      <c r="J2929">
        <v>0</v>
      </c>
      <c r="K2929">
        <v>0</v>
      </c>
      <c r="L2929">
        <v>0</v>
      </c>
    </row>
    <row r="2930" spans="1:12" x14ac:dyDescent="0.25">
      <c r="A2930" t="str">
        <f t="shared" si="45"/>
        <v>1009023224472026M03</v>
      </c>
      <c r="B2930">
        <v>51321001</v>
      </c>
      <c r="C2930">
        <v>32</v>
      </c>
      <c r="D2930">
        <v>100902</v>
      </c>
      <c r="E2930">
        <v>322447</v>
      </c>
      <c r="F2930" t="s">
        <v>115</v>
      </c>
      <c r="G2930" t="s">
        <v>65</v>
      </c>
      <c r="H2930">
        <v>32479.98</v>
      </c>
      <c r="I2930">
        <v>32479.98</v>
      </c>
      <c r="J2930">
        <v>0</v>
      </c>
      <c r="K2930">
        <v>0</v>
      </c>
      <c r="L2930">
        <v>0</v>
      </c>
    </row>
    <row r="2931" spans="1:12" x14ac:dyDescent="0.25">
      <c r="A2931" t="str">
        <f t="shared" si="45"/>
        <v>1009023224472026M04</v>
      </c>
      <c r="B2931">
        <v>51321001</v>
      </c>
      <c r="C2931">
        <v>32</v>
      </c>
      <c r="D2931">
        <v>100902</v>
      </c>
      <c r="E2931">
        <v>322447</v>
      </c>
      <c r="F2931" t="s">
        <v>115</v>
      </c>
      <c r="G2931" t="s">
        <v>66</v>
      </c>
      <c r="H2931">
        <v>16239.99</v>
      </c>
      <c r="I2931">
        <v>16239.99</v>
      </c>
      <c r="J2931">
        <v>0</v>
      </c>
      <c r="K2931">
        <v>0</v>
      </c>
      <c r="L2931">
        <v>0</v>
      </c>
    </row>
    <row r="2932" spans="1:12" x14ac:dyDescent="0.25">
      <c r="A2932" t="str">
        <f t="shared" si="45"/>
        <v>1009023224472026M05</v>
      </c>
      <c r="B2932">
        <v>51321001</v>
      </c>
      <c r="C2932">
        <v>32</v>
      </c>
      <c r="D2932">
        <v>100902</v>
      </c>
      <c r="E2932">
        <v>322447</v>
      </c>
      <c r="F2932" t="s">
        <v>115</v>
      </c>
      <c r="G2932" t="s">
        <v>67</v>
      </c>
      <c r="H2932">
        <v>16239.99</v>
      </c>
      <c r="I2932">
        <v>16239.99</v>
      </c>
      <c r="J2932">
        <v>0</v>
      </c>
      <c r="K2932">
        <v>0</v>
      </c>
      <c r="L2932">
        <v>0</v>
      </c>
    </row>
    <row r="2933" spans="1:12" x14ac:dyDescent="0.25">
      <c r="A2933" t="str">
        <f t="shared" si="45"/>
        <v>1009023224472026M06</v>
      </c>
      <c r="B2933">
        <v>51321001</v>
      </c>
      <c r="C2933">
        <v>32</v>
      </c>
      <c r="D2933">
        <v>100902</v>
      </c>
      <c r="E2933">
        <v>322447</v>
      </c>
      <c r="F2933" t="s">
        <v>115</v>
      </c>
      <c r="G2933" t="s">
        <v>68</v>
      </c>
      <c r="H2933">
        <v>16239.99</v>
      </c>
      <c r="I2933">
        <v>16239.99</v>
      </c>
      <c r="J2933">
        <v>0</v>
      </c>
      <c r="K2933">
        <v>0</v>
      </c>
      <c r="L2933">
        <v>0</v>
      </c>
    </row>
    <row r="2934" spans="1:12" x14ac:dyDescent="0.25">
      <c r="A2934" t="str">
        <f t="shared" si="45"/>
        <v>1009023224472026M07</v>
      </c>
      <c r="B2934">
        <v>51321001</v>
      </c>
      <c r="C2934">
        <v>32</v>
      </c>
      <c r="D2934">
        <v>100902</v>
      </c>
      <c r="E2934">
        <v>322447</v>
      </c>
      <c r="F2934" t="s">
        <v>115</v>
      </c>
      <c r="G2934" t="s">
        <v>69</v>
      </c>
      <c r="H2934">
        <v>16239.99</v>
      </c>
      <c r="I2934">
        <v>16239.99</v>
      </c>
      <c r="J2934">
        <v>0</v>
      </c>
      <c r="K2934">
        <v>0</v>
      </c>
      <c r="L2934">
        <v>0</v>
      </c>
    </row>
    <row r="2935" spans="1:12" x14ac:dyDescent="0.25">
      <c r="A2935" t="str">
        <f t="shared" si="45"/>
        <v>1009023224472026M08</v>
      </c>
      <c r="B2935">
        <v>51321001</v>
      </c>
      <c r="C2935">
        <v>32</v>
      </c>
      <c r="D2935">
        <v>100902</v>
      </c>
      <c r="E2935">
        <v>322447</v>
      </c>
      <c r="F2935" t="s">
        <v>115</v>
      </c>
      <c r="G2935" t="s">
        <v>70</v>
      </c>
      <c r="H2935">
        <v>16239.99</v>
      </c>
      <c r="I2935">
        <v>16239.99</v>
      </c>
      <c r="J2935">
        <v>0</v>
      </c>
      <c r="K2935">
        <v>0</v>
      </c>
      <c r="L2935">
        <v>0</v>
      </c>
    </row>
    <row r="2936" spans="1:12" x14ac:dyDescent="0.25">
      <c r="A2936" t="str">
        <f t="shared" si="45"/>
        <v>1009023224472026M09</v>
      </c>
      <c r="B2936">
        <v>51321001</v>
      </c>
      <c r="C2936">
        <v>32</v>
      </c>
      <c r="D2936">
        <v>100902</v>
      </c>
      <c r="E2936">
        <v>322447</v>
      </c>
      <c r="F2936" t="s">
        <v>115</v>
      </c>
      <c r="G2936" t="s">
        <v>71</v>
      </c>
      <c r="H2936">
        <v>16239.99</v>
      </c>
      <c r="I2936">
        <v>16239.99</v>
      </c>
      <c r="J2936">
        <v>0</v>
      </c>
      <c r="K2936">
        <v>0</v>
      </c>
      <c r="L2936">
        <v>0</v>
      </c>
    </row>
    <row r="2937" spans="1:12" x14ac:dyDescent="0.25">
      <c r="A2937" t="str">
        <f t="shared" si="45"/>
        <v>1009023224472026M10</v>
      </c>
      <c r="B2937">
        <v>51321001</v>
      </c>
      <c r="C2937">
        <v>32</v>
      </c>
      <c r="D2937">
        <v>100902</v>
      </c>
      <c r="E2937">
        <v>322447</v>
      </c>
      <c r="F2937" t="s">
        <v>115</v>
      </c>
      <c r="G2937" t="s">
        <v>72</v>
      </c>
      <c r="H2937">
        <v>16240.08</v>
      </c>
      <c r="I2937">
        <v>0</v>
      </c>
      <c r="J2937">
        <v>16240.08</v>
      </c>
      <c r="K2937">
        <v>0</v>
      </c>
      <c r="L2937">
        <v>0</v>
      </c>
    </row>
    <row r="2938" spans="1:12" x14ac:dyDescent="0.25">
      <c r="A2938" t="str">
        <f t="shared" si="45"/>
        <v>1009023224472026M11</v>
      </c>
      <c r="B2938">
        <v>51321001</v>
      </c>
      <c r="C2938">
        <v>32</v>
      </c>
      <c r="D2938">
        <v>100902</v>
      </c>
      <c r="E2938">
        <v>322447</v>
      </c>
      <c r="F2938" t="s">
        <v>115</v>
      </c>
      <c r="G2938" t="s">
        <v>73</v>
      </c>
      <c r="H2938">
        <v>16240</v>
      </c>
      <c r="I2938">
        <v>0</v>
      </c>
      <c r="J2938">
        <v>16240</v>
      </c>
      <c r="K2938">
        <v>0</v>
      </c>
      <c r="L2938">
        <v>0</v>
      </c>
    </row>
    <row r="2939" spans="1:12" x14ac:dyDescent="0.25">
      <c r="A2939" t="str">
        <f t="shared" si="45"/>
        <v>1009023224472026M12</v>
      </c>
      <c r="B2939">
        <v>51321001</v>
      </c>
      <c r="C2939">
        <v>32</v>
      </c>
      <c r="D2939">
        <v>100902</v>
      </c>
      <c r="E2939">
        <v>322447</v>
      </c>
      <c r="F2939" t="s">
        <v>115</v>
      </c>
      <c r="G2939" t="s">
        <v>74</v>
      </c>
      <c r="H2939">
        <v>32480</v>
      </c>
      <c r="I2939">
        <v>0</v>
      </c>
      <c r="J2939">
        <v>32480</v>
      </c>
      <c r="K2939">
        <v>0</v>
      </c>
      <c r="L2939">
        <v>0</v>
      </c>
    </row>
    <row r="2940" spans="1:12" x14ac:dyDescent="0.25">
      <c r="A2940" t="str">
        <f t="shared" si="45"/>
        <v>1401003290012026M02</v>
      </c>
      <c r="B2940">
        <v>51321001</v>
      </c>
      <c r="C2940">
        <v>32</v>
      </c>
      <c r="D2940">
        <v>140100</v>
      </c>
      <c r="E2940">
        <v>329001</v>
      </c>
      <c r="F2940" t="s">
        <v>115</v>
      </c>
      <c r="G2940" t="s">
        <v>64</v>
      </c>
      <c r="H2940">
        <v>0</v>
      </c>
      <c r="I2940">
        <v>0</v>
      </c>
      <c r="J2940">
        <v>0</v>
      </c>
      <c r="K2940">
        <v>0</v>
      </c>
      <c r="L2940">
        <v>0</v>
      </c>
    </row>
    <row r="2941" spans="1:12" x14ac:dyDescent="0.25">
      <c r="A2941" t="str">
        <f t="shared" si="45"/>
        <v>1401003290012026M03</v>
      </c>
      <c r="B2941">
        <v>51321001</v>
      </c>
      <c r="C2941">
        <v>32</v>
      </c>
      <c r="D2941">
        <v>140100</v>
      </c>
      <c r="E2941">
        <v>329001</v>
      </c>
      <c r="F2941" t="s">
        <v>115</v>
      </c>
      <c r="G2941" t="s">
        <v>65</v>
      </c>
      <c r="H2941">
        <v>65412.4</v>
      </c>
      <c r="I2941">
        <v>65412.4</v>
      </c>
      <c r="J2941">
        <v>0</v>
      </c>
      <c r="K2941">
        <v>0</v>
      </c>
      <c r="L2941">
        <v>0</v>
      </c>
    </row>
    <row r="2942" spans="1:12" x14ac:dyDescent="0.25">
      <c r="A2942" t="str">
        <f t="shared" si="45"/>
        <v>1401003290012026M04</v>
      </c>
      <c r="B2942">
        <v>51321001</v>
      </c>
      <c r="C2942">
        <v>32</v>
      </c>
      <c r="D2942">
        <v>140100</v>
      </c>
      <c r="E2942">
        <v>329001</v>
      </c>
      <c r="F2942" t="s">
        <v>115</v>
      </c>
      <c r="G2942" t="s">
        <v>66</v>
      </c>
      <c r="H2942">
        <v>32706.2</v>
      </c>
      <c r="I2942">
        <v>32706.2</v>
      </c>
      <c r="J2942">
        <v>0</v>
      </c>
      <c r="K2942">
        <v>0</v>
      </c>
      <c r="L2942">
        <v>0</v>
      </c>
    </row>
    <row r="2943" spans="1:12" x14ac:dyDescent="0.25">
      <c r="A2943" t="str">
        <f t="shared" si="45"/>
        <v>1401003290012026M05</v>
      </c>
      <c r="B2943">
        <v>51321001</v>
      </c>
      <c r="C2943">
        <v>32</v>
      </c>
      <c r="D2943">
        <v>140100</v>
      </c>
      <c r="E2943">
        <v>329001</v>
      </c>
      <c r="F2943" t="s">
        <v>115</v>
      </c>
      <c r="G2943" t="s">
        <v>67</v>
      </c>
      <c r="H2943">
        <v>32706.2</v>
      </c>
      <c r="I2943">
        <v>32706.2</v>
      </c>
      <c r="J2943">
        <v>0</v>
      </c>
      <c r="K2943">
        <v>0</v>
      </c>
      <c r="L2943">
        <v>0</v>
      </c>
    </row>
    <row r="2944" spans="1:12" x14ac:dyDescent="0.25">
      <c r="A2944" t="str">
        <f t="shared" si="45"/>
        <v>1401003290012026M06</v>
      </c>
      <c r="B2944">
        <v>51321001</v>
      </c>
      <c r="C2944">
        <v>32</v>
      </c>
      <c r="D2944">
        <v>140100</v>
      </c>
      <c r="E2944">
        <v>329001</v>
      </c>
      <c r="F2944" t="s">
        <v>115</v>
      </c>
      <c r="G2944" t="s">
        <v>68</v>
      </c>
      <c r="H2944">
        <v>32706.2</v>
      </c>
      <c r="I2944">
        <v>32706.2</v>
      </c>
      <c r="J2944">
        <v>0</v>
      </c>
      <c r="K2944">
        <v>0</v>
      </c>
      <c r="L2944">
        <v>0</v>
      </c>
    </row>
    <row r="2945" spans="1:12" x14ac:dyDescent="0.25">
      <c r="A2945" t="str">
        <f t="shared" si="45"/>
        <v>1401003290012026M07</v>
      </c>
      <c r="B2945">
        <v>51321001</v>
      </c>
      <c r="C2945">
        <v>32</v>
      </c>
      <c r="D2945">
        <v>140100</v>
      </c>
      <c r="E2945">
        <v>329001</v>
      </c>
      <c r="F2945" t="s">
        <v>115</v>
      </c>
      <c r="G2945" t="s">
        <v>69</v>
      </c>
      <c r="H2945">
        <v>32706.2</v>
      </c>
      <c r="I2945">
        <v>32706.2</v>
      </c>
      <c r="J2945">
        <v>0</v>
      </c>
      <c r="K2945">
        <v>0</v>
      </c>
      <c r="L2945">
        <v>0</v>
      </c>
    </row>
    <row r="2946" spans="1:12" x14ac:dyDescent="0.25">
      <c r="A2946" t="str">
        <f t="shared" si="45"/>
        <v>1401003290012026M08</v>
      </c>
      <c r="B2946">
        <v>51321001</v>
      </c>
      <c r="C2946">
        <v>32</v>
      </c>
      <c r="D2946">
        <v>140100</v>
      </c>
      <c r="E2946">
        <v>329001</v>
      </c>
      <c r="F2946" t="s">
        <v>115</v>
      </c>
      <c r="G2946" t="s">
        <v>70</v>
      </c>
      <c r="H2946">
        <v>32706.2</v>
      </c>
      <c r="I2946">
        <v>32706.2</v>
      </c>
      <c r="J2946">
        <v>0</v>
      </c>
      <c r="K2946">
        <v>0</v>
      </c>
      <c r="L2946">
        <v>0</v>
      </c>
    </row>
    <row r="2947" spans="1:12" x14ac:dyDescent="0.25">
      <c r="A2947" t="str">
        <f t="shared" si="45"/>
        <v>1401003290012026M09</v>
      </c>
      <c r="B2947">
        <v>51321001</v>
      </c>
      <c r="C2947">
        <v>32</v>
      </c>
      <c r="D2947">
        <v>140100</v>
      </c>
      <c r="E2947">
        <v>329001</v>
      </c>
      <c r="F2947" t="s">
        <v>115</v>
      </c>
      <c r="G2947" t="s">
        <v>71</v>
      </c>
      <c r="H2947">
        <v>32706.2</v>
      </c>
      <c r="I2947">
        <v>32706.2</v>
      </c>
      <c r="J2947">
        <v>0</v>
      </c>
      <c r="K2947">
        <v>0</v>
      </c>
      <c r="L2947">
        <v>0</v>
      </c>
    </row>
    <row r="2948" spans="1:12" x14ac:dyDescent="0.25">
      <c r="A2948" t="str">
        <f t="shared" si="45"/>
        <v>1401003290012026M10</v>
      </c>
      <c r="B2948">
        <v>51321001</v>
      </c>
      <c r="C2948">
        <v>32</v>
      </c>
      <c r="D2948">
        <v>140100</v>
      </c>
      <c r="E2948">
        <v>329001</v>
      </c>
      <c r="F2948" t="s">
        <v>115</v>
      </c>
      <c r="G2948" t="s">
        <v>72</v>
      </c>
      <c r="H2948">
        <v>32713.4</v>
      </c>
      <c r="I2948">
        <v>0</v>
      </c>
      <c r="J2948">
        <v>32713.4</v>
      </c>
      <c r="K2948">
        <v>0</v>
      </c>
      <c r="L2948">
        <v>0</v>
      </c>
    </row>
    <row r="2949" spans="1:12" x14ac:dyDescent="0.25">
      <c r="A2949" t="str">
        <f t="shared" si="45"/>
        <v>1401003290012026M11</v>
      </c>
      <c r="B2949">
        <v>51321001</v>
      </c>
      <c r="C2949">
        <v>32</v>
      </c>
      <c r="D2949">
        <v>140100</v>
      </c>
      <c r="E2949">
        <v>329001</v>
      </c>
      <c r="F2949" t="s">
        <v>115</v>
      </c>
      <c r="G2949" t="s">
        <v>73</v>
      </c>
      <c r="H2949">
        <v>32707</v>
      </c>
      <c r="I2949">
        <v>0</v>
      </c>
      <c r="J2949">
        <v>32707</v>
      </c>
      <c r="K2949">
        <v>0</v>
      </c>
      <c r="L2949">
        <v>0</v>
      </c>
    </row>
    <row r="2950" spans="1:12" x14ac:dyDescent="0.25">
      <c r="A2950" t="str">
        <f t="shared" si="45"/>
        <v>1401003290012026M12</v>
      </c>
      <c r="B2950">
        <v>51321001</v>
      </c>
      <c r="C2950">
        <v>32</v>
      </c>
      <c r="D2950">
        <v>140100</v>
      </c>
      <c r="E2950">
        <v>329001</v>
      </c>
      <c r="F2950" t="s">
        <v>115</v>
      </c>
      <c r="G2950" t="s">
        <v>74</v>
      </c>
      <c r="H2950">
        <v>65405</v>
      </c>
      <c r="I2950">
        <v>0</v>
      </c>
      <c r="J2950">
        <v>65405</v>
      </c>
      <c r="K2950">
        <v>0</v>
      </c>
      <c r="L2950">
        <v>0</v>
      </c>
    </row>
    <row r="2951" spans="1:12" x14ac:dyDescent="0.25">
      <c r="A2951" t="str">
        <f t="shared" si="45"/>
        <v>2002003224292026M02</v>
      </c>
      <c r="B2951">
        <v>51321001</v>
      </c>
      <c r="C2951">
        <v>32</v>
      </c>
      <c r="D2951">
        <v>200200</v>
      </c>
      <c r="E2951">
        <v>322429</v>
      </c>
      <c r="F2951" t="s">
        <v>115</v>
      </c>
      <c r="G2951" t="s">
        <v>64</v>
      </c>
      <c r="H2951">
        <v>0</v>
      </c>
      <c r="I2951">
        <v>0</v>
      </c>
      <c r="J2951">
        <v>0</v>
      </c>
      <c r="K2951">
        <v>0</v>
      </c>
      <c r="L2951">
        <v>0</v>
      </c>
    </row>
    <row r="2952" spans="1:12" x14ac:dyDescent="0.25">
      <c r="A2952" t="str">
        <f t="shared" si="45"/>
        <v>2002003224292026M03</v>
      </c>
      <c r="B2952">
        <v>51321001</v>
      </c>
      <c r="C2952">
        <v>32</v>
      </c>
      <c r="D2952">
        <v>200200</v>
      </c>
      <c r="E2952">
        <v>322429</v>
      </c>
      <c r="F2952" t="s">
        <v>115</v>
      </c>
      <c r="G2952" t="s">
        <v>65</v>
      </c>
      <c r="H2952">
        <v>46400</v>
      </c>
      <c r="I2952">
        <v>46400</v>
      </c>
      <c r="J2952">
        <v>0</v>
      </c>
      <c r="K2952">
        <v>0</v>
      </c>
      <c r="L2952">
        <v>0</v>
      </c>
    </row>
    <row r="2953" spans="1:12" x14ac:dyDescent="0.25">
      <c r="A2953" t="str">
        <f t="shared" si="45"/>
        <v>2002003224292026M04</v>
      </c>
      <c r="B2953">
        <v>51321001</v>
      </c>
      <c r="C2953">
        <v>32</v>
      </c>
      <c r="D2953">
        <v>200200</v>
      </c>
      <c r="E2953">
        <v>322429</v>
      </c>
      <c r="F2953" t="s">
        <v>115</v>
      </c>
      <c r="G2953" t="s">
        <v>66</v>
      </c>
      <c r="H2953">
        <v>23200</v>
      </c>
      <c r="I2953">
        <v>23200</v>
      </c>
      <c r="J2953">
        <v>0</v>
      </c>
      <c r="K2953">
        <v>0</v>
      </c>
      <c r="L2953">
        <v>0</v>
      </c>
    </row>
    <row r="2954" spans="1:12" x14ac:dyDescent="0.25">
      <c r="A2954" t="str">
        <f t="shared" si="45"/>
        <v>2002003224292026M05</v>
      </c>
      <c r="B2954">
        <v>51321001</v>
      </c>
      <c r="C2954">
        <v>32</v>
      </c>
      <c r="D2954">
        <v>200200</v>
      </c>
      <c r="E2954">
        <v>322429</v>
      </c>
      <c r="F2954" t="s">
        <v>115</v>
      </c>
      <c r="G2954" t="s">
        <v>67</v>
      </c>
      <c r="H2954">
        <v>23200</v>
      </c>
      <c r="I2954">
        <v>23200</v>
      </c>
      <c r="J2954">
        <v>0</v>
      </c>
      <c r="K2954">
        <v>0</v>
      </c>
      <c r="L2954">
        <v>0</v>
      </c>
    </row>
    <row r="2955" spans="1:12" x14ac:dyDescent="0.25">
      <c r="A2955" t="str">
        <f t="shared" ref="A2955:A3018" si="46">D2955&amp;E2955&amp;G2955</f>
        <v>2002003224292026M06</v>
      </c>
      <c r="B2955">
        <v>51321001</v>
      </c>
      <c r="C2955">
        <v>32</v>
      </c>
      <c r="D2955">
        <v>200200</v>
      </c>
      <c r="E2955">
        <v>322429</v>
      </c>
      <c r="F2955" t="s">
        <v>115</v>
      </c>
      <c r="G2955" t="s">
        <v>68</v>
      </c>
      <c r="H2955">
        <v>23200</v>
      </c>
      <c r="I2955">
        <v>23200</v>
      </c>
      <c r="J2955">
        <v>0</v>
      </c>
      <c r="K2955">
        <v>0</v>
      </c>
      <c r="L2955">
        <v>0</v>
      </c>
    </row>
    <row r="2956" spans="1:12" x14ac:dyDescent="0.25">
      <c r="A2956" t="str">
        <f t="shared" si="46"/>
        <v>2002003224292026M07</v>
      </c>
      <c r="B2956">
        <v>51321001</v>
      </c>
      <c r="C2956">
        <v>32</v>
      </c>
      <c r="D2956">
        <v>200200</v>
      </c>
      <c r="E2956">
        <v>322429</v>
      </c>
      <c r="F2956" t="s">
        <v>115</v>
      </c>
      <c r="G2956" t="s">
        <v>69</v>
      </c>
      <c r="H2956">
        <v>23200</v>
      </c>
      <c r="I2956">
        <v>23200</v>
      </c>
      <c r="J2956">
        <v>0</v>
      </c>
      <c r="K2956">
        <v>0</v>
      </c>
      <c r="L2956">
        <v>0</v>
      </c>
    </row>
    <row r="2957" spans="1:12" x14ac:dyDescent="0.25">
      <c r="A2957" t="str">
        <f t="shared" si="46"/>
        <v>2002003224292026M08</v>
      </c>
      <c r="B2957">
        <v>51321001</v>
      </c>
      <c r="C2957">
        <v>32</v>
      </c>
      <c r="D2957">
        <v>200200</v>
      </c>
      <c r="E2957">
        <v>322429</v>
      </c>
      <c r="F2957" t="s">
        <v>115</v>
      </c>
      <c r="G2957" t="s">
        <v>70</v>
      </c>
      <c r="H2957">
        <v>23200</v>
      </c>
      <c r="I2957">
        <v>23200</v>
      </c>
      <c r="J2957">
        <v>0</v>
      </c>
      <c r="K2957">
        <v>0</v>
      </c>
      <c r="L2957">
        <v>0</v>
      </c>
    </row>
    <row r="2958" spans="1:12" x14ac:dyDescent="0.25">
      <c r="A2958" t="str">
        <f t="shared" si="46"/>
        <v>2002003224292026M09</v>
      </c>
      <c r="B2958">
        <v>51321001</v>
      </c>
      <c r="C2958">
        <v>32</v>
      </c>
      <c r="D2958">
        <v>200200</v>
      </c>
      <c r="E2958">
        <v>322429</v>
      </c>
      <c r="F2958" t="s">
        <v>115</v>
      </c>
      <c r="G2958" t="s">
        <v>71</v>
      </c>
      <c r="H2958">
        <v>23200</v>
      </c>
      <c r="I2958">
        <v>23200</v>
      </c>
      <c r="J2958">
        <v>0</v>
      </c>
      <c r="K2958">
        <v>0</v>
      </c>
      <c r="L2958">
        <v>0</v>
      </c>
    </row>
    <row r="2959" spans="1:12" x14ac:dyDescent="0.25">
      <c r="A2959" t="str">
        <f t="shared" si="46"/>
        <v>2002003224292026M10</v>
      </c>
      <c r="B2959">
        <v>51321001</v>
      </c>
      <c r="C2959">
        <v>32</v>
      </c>
      <c r="D2959">
        <v>200200</v>
      </c>
      <c r="E2959">
        <v>322429</v>
      </c>
      <c r="F2959" t="s">
        <v>115</v>
      </c>
      <c r="G2959" t="s">
        <v>72</v>
      </c>
      <c r="H2959">
        <v>23200</v>
      </c>
      <c r="I2959">
        <v>0</v>
      </c>
      <c r="J2959">
        <v>23200</v>
      </c>
      <c r="K2959">
        <v>0</v>
      </c>
      <c r="L2959">
        <v>0</v>
      </c>
    </row>
    <row r="2960" spans="1:12" x14ac:dyDescent="0.25">
      <c r="A2960" t="str">
        <f t="shared" si="46"/>
        <v>2002003224292026M11</v>
      </c>
      <c r="B2960">
        <v>51321001</v>
      </c>
      <c r="C2960">
        <v>32</v>
      </c>
      <c r="D2960">
        <v>200200</v>
      </c>
      <c r="E2960">
        <v>322429</v>
      </c>
      <c r="F2960" t="s">
        <v>115</v>
      </c>
      <c r="G2960" t="s">
        <v>73</v>
      </c>
      <c r="H2960">
        <v>23200</v>
      </c>
      <c r="I2960">
        <v>0</v>
      </c>
      <c r="J2960">
        <v>23200</v>
      </c>
      <c r="K2960">
        <v>0</v>
      </c>
      <c r="L2960">
        <v>0</v>
      </c>
    </row>
    <row r="2961" spans="1:12" x14ac:dyDescent="0.25">
      <c r="A2961" t="str">
        <f t="shared" si="46"/>
        <v>2002003224292026M12</v>
      </c>
      <c r="B2961">
        <v>51321001</v>
      </c>
      <c r="C2961">
        <v>32</v>
      </c>
      <c r="D2961">
        <v>200200</v>
      </c>
      <c r="E2961">
        <v>322429</v>
      </c>
      <c r="F2961" t="s">
        <v>115</v>
      </c>
      <c r="G2961" t="s">
        <v>74</v>
      </c>
      <c r="H2961">
        <v>46400</v>
      </c>
      <c r="I2961">
        <v>0</v>
      </c>
      <c r="J2961">
        <v>46400</v>
      </c>
      <c r="K2961">
        <v>0</v>
      </c>
      <c r="L2961">
        <v>0</v>
      </c>
    </row>
    <row r="2962" spans="1:12" x14ac:dyDescent="0.25">
      <c r="A2962" t="str">
        <f t="shared" si="46"/>
        <v>3802003259022026M02</v>
      </c>
      <c r="B2962">
        <v>51321001</v>
      </c>
      <c r="C2962">
        <v>32</v>
      </c>
      <c r="D2962">
        <v>380200</v>
      </c>
      <c r="E2962">
        <v>325902</v>
      </c>
      <c r="F2962" t="s">
        <v>115</v>
      </c>
      <c r="G2962" t="s">
        <v>64</v>
      </c>
      <c r="H2962">
        <v>0</v>
      </c>
      <c r="I2962">
        <v>0</v>
      </c>
      <c r="J2962">
        <v>0</v>
      </c>
      <c r="K2962">
        <v>0</v>
      </c>
      <c r="L2962">
        <v>0</v>
      </c>
    </row>
    <row r="2963" spans="1:12" x14ac:dyDescent="0.25">
      <c r="A2963" t="str">
        <f t="shared" si="46"/>
        <v>3802003259022026M03</v>
      </c>
      <c r="B2963">
        <v>51321001</v>
      </c>
      <c r="C2963">
        <v>32</v>
      </c>
      <c r="D2963">
        <v>380200</v>
      </c>
      <c r="E2963">
        <v>325902</v>
      </c>
      <c r="F2963" t="s">
        <v>115</v>
      </c>
      <c r="G2963" t="s">
        <v>65</v>
      </c>
      <c r="H2963">
        <v>219999.92</v>
      </c>
      <c r="I2963">
        <v>219999.92</v>
      </c>
      <c r="J2963">
        <v>0</v>
      </c>
      <c r="K2963">
        <v>0</v>
      </c>
      <c r="L2963">
        <v>0</v>
      </c>
    </row>
    <row r="2964" spans="1:12" x14ac:dyDescent="0.25">
      <c r="A2964" t="str">
        <f t="shared" si="46"/>
        <v>3802003259022026M04</v>
      </c>
      <c r="B2964">
        <v>51321001</v>
      </c>
      <c r="C2964">
        <v>32</v>
      </c>
      <c r="D2964">
        <v>380200</v>
      </c>
      <c r="E2964">
        <v>325902</v>
      </c>
      <c r="F2964" t="s">
        <v>115</v>
      </c>
      <c r="G2964" t="s">
        <v>66</v>
      </c>
      <c r="H2964">
        <v>109999.96</v>
      </c>
      <c r="I2964">
        <v>109999.96</v>
      </c>
      <c r="J2964">
        <v>0</v>
      </c>
      <c r="K2964">
        <v>0</v>
      </c>
      <c r="L2964">
        <v>0</v>
      </c>
    </row>
    <row r="2965" spans="1:12" x14ac:dyDescent="0.25">
      <c r="A2965" t="str">
        <f t="shared" si="46"/>
        <v>3802003259022026M05</v>
      </c>
      <c r="B2965">
        <v>51321001</v>
      </c>
      <c r="C2965">
        <v>32</v>
      </c>
      <c r="D2965">
        <v>380200</v>
      </c>
      <c r="E2965">
        <v>325902</v>
      </c>
      <c r="F2965" t="s">
        <v>115</v>
      </c>
      <c r="G2965" t="s">
        <v>67</v>
      </c>
      <c r="H2965">
        <v>109999.96</v>
      </c>
      <c r="I2965">
        <v>109999.96</v>
      </c>
      <c r="J2965">
        <v>0</v>
      </c>
      <c r="K2965">
        <v>0</v>
      </c>
      <c r="L2965">
        <v>0</v>
      </c>
    </row>
    <row r="2966" spans="1:12" x14ac:dyDescent="0.25">
      <c r="A2966" t="str">
        <f t="shared" si="46"/>
        <v>3802003259022026M06</v>
      </c>
      <c r="B2966">
        <v>51321001</v>
      </c>
      <c r="C2966">
        <v>32</v>
      </c>
      <c r="D2966">
        <v>380200</v>
      </c>
      <c r="E2966">
        <v>325902</v>
      </c>
      <c r="F2966" t="s">
        <v>115</v>
      </c>
      <c r="G2966" t="s">
        <v>68</v>
      </c>
      <c r="H2966">
        <v>109999.96</v>
      </c>
      <c r="I2966">
        <v>109999.96</v>
      </c>
      <c r="J2966">
        <v>0</v>
      </c>
      <c r="K2966">
        <v>0</v>
      </c>
      <c r="L2966">
        <v>0</v>
      </c>
    </row>
    <row r="2967" spans="1:12" x14ac:dyDescent="0.25">
      <c r="A2967" t="str">
        <f t="shared" si="46"/>
        <v>3802003259022026M07</v>
      </c>
      <c r="B2967">
        <v>51321001</v>
      </c>
      <c r="C2967">
        <v>32</v>
      </c>
      <c r="D2967">
        <v>380200</v>
      </c>
      <c r="E2967">
        <v>325902</v>
      </c>
      <c r="F2967" t="s">
        <v>115</v>
      </c>
      <c r="G2967" t="s">
        <v>69</v>
      </c>
      <c r="H2967">
        <v>109999.96</v>
      </c>
      <c r="I2967">
        <v>109999.96</v>
      </c>
      <c r="J2967">
        <v>0</v>
      </c>
      <c r="K2967">
        <v>0</v>
      </c>
      <c r="L2967">
        <v>0</v>
      </c>
    </row>
    <row r="2968" spans="1:12" x14ac:dyDescent="0.25">
      <c r="A2968" t="str">
        <f t="shared" si="46"/>
        <v>3802003259022026M08</v>
      </c>
      <c r="B2968">
        <v>51321001</v>
      </c>
      <c r="C2968">
        <v>32</v>
      </c>
      <c r="D2968">
        <v>380200</v>
      </c>
      <c r="E2968">
        <v>325902</v>
      </c>
      <c r="F2968" t="s">
        <v>115</v>
      </c>
      <c r="G2968" t="s">
        <v>70</v>
      </c>
      <c r="H2968">
        <v>109999.96</v>
      </c>
      <c r="I2968">
        <v>109999.96</v>
      </c>
      <c r="J2968">
        <v>0</v>
      </c>
      <c r="K2968">
        <v>0</v>
      </c>
      <c r="L2968">
        <v>0</v>
      </c>
    </row>
    <row r="2969" spans="1:12" x14ac:dyDescent="0.25">
      <c r="A2969" t="str">
        <f t="shared" si="46"/>
        <v>3802003259022026M09</v>
      </c>
      <c r="B2969">
        <v>51321001</v>
      </c>
      <c r="C2969">
        <v>32</v>
      </c>
      <c r="D2969">
        <v>380200</v>
      </c>
      <c r="E2969">
        <v>325902</v>
      </c>
      <c r="F2969" t="s">
        <v>115</v>
      </c>
      <c r="G2969" t="s">
        <v>71</v>
      </c>
      <c r="H2969">
        <v>109999.96</v>
      </c>
      <c r="I2969">
        <v>109999.96</v>
      </c>
      <c r="J2969">
        <v>0</v>
      </c>
      <c r="K2969">
        <v>0</v>
      </c>
      <c r="L2969">
        <v>0</v>
      </c>
    </row>
    <row r="2970" spans="1:12" x14ac:dyDescent="0.25">
      <c r="A2970" t="str">
        <f t="shared" si="46"/>
        <v>3802003259022026M10</v>
      </c>
      <c r="B2970">
        <v>51321001</v>
      </c>
      <c r="C2970">
        <v>32</v>
      </c>
      <c r="D2970">
        <v>380200</v>
      </c>
      <c r="E2970">
        <v>325902</v>
      </c>
      <c r="F2970" t="s">
        <v>115</v>
      </c>
      <c r="G2970" t="s">
        <v>72</v>
      </c>
      <c r="H2970">
        <v>268400.32</v>
      </c>
      <c r="I2970">
        <v>0</v>
      </c>
      <c r="J2970">
        <v>268400.32</v>
      </c>
      <c r="K2970">
        <v>0</v>
      </c>
      <c r="L2970">
        <v>0</v>
      </c>
    </row>
    <row r="2971" spans="1:12" x14ac:dyDescent="0.25">
      <c r="A2971" t="str">
        <f t="shared" si="46"/>
        <v>3802003259022026M11</v>
      </c>
      <c r="B2971">
        <v>51321001</v>
      </c>
      <c r="C2971">
        <v>32</v>
      </c>
      <c r="D2971">
        <v>380200</v>
      </c>
      <c r="E2971">
        <v>325902</v>
      </c>
      <c r="F2971" t="s">
        <v>115</v>
      </c>
      <c r="G2971" t="s">
        <v>73</v>
      </c>
      <c r="H2971">
        <v>127600</v>
      </c>
      <c r="I2971">
        <v>0</v>
      </c>
      <c r="J2971">
        <v>127600</v>
      </c>
      <c r="K2971">
        <v>0</v>
      </c>
      <c r="L2971">
        <v>0</v>
      </c>
    </row>
    <row r="2972" spans="1:12" x14ac:dyDescent="0.25">
      <c r="A2972" t="str">
        <f t="shared" si="46"/>
        <v>3802003259022026M12</v>
      </c>
      <c r="B2972">
        <v>51321001</v>
      </c>
      <c r="C2972">
        <v>32</v>
      </c>
      <c r="D2972">
        <v>380200</v>
      </c>
      <c r="E2972">
        <v>325902</v>
      </c>
      <c r="F2972" t="s">
        <v>115</v>
      </c>
      <c r="G2972" t="s">
        <v>74</v>
      </c>
      <c r="H2972">
        <v>255200</v>
      </c>
      <c r="I2972">
        <v>0</v>
      </c>
      <c r="J2972">
        <v>255200</v>
      </c>
      <c r="K2972">
        <v>0</v>
      </c>
      <c r="L2972">
        <v>0</v>
      </c>
    </row>
    <row r="2973" spans="1:12" x14ac:dyDescent="0.25">
      <c r="A2973" t="str">
        <f t="shared" si="46"/>
        <v>3802003259032026M02</v>
      </c>
      <c r="B2973">
        <v>51321001</v>
      </c>
      <c r="C2973">
        <v>32</v>
      </c>
      <c r="D2973">
        <v>380200</v>
      </c>
      <c r="E2973">
        <v>325903</v>
      </c>
      <c r="F2973" t="s">
        <v>115</v>
      </c>
      <c r="G2973" t="s">
        <v>64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x14ac:dyDescent="0.25">
      <c r="A2974" t="str">
        <f t="shared" si="46"/>
        <v>3802003259032026M03</v>
      </c>
      <c r="B2974">
        <v>51321001</v>
      </c>
      <c r="C2974">
        <v>32</v>
      </c>
      <c r="D2974">
        <v>380200</v>
      </c>
      <c r="E2974">
        <v>325903</v>
      </c>
      <c r="F2974" t="s">
        <v>115</v>
      </c>
      <c r="G2974" t="s">
        <v>65</v>
      </c>
      <c r="H2974">
        <v>51409.599999999999</v>
      </c>
      <c r="I2974">
        <v>51409.599999999999</v>
      </c>
      <c r="J2974">
        <v>0</v>
      </c>
      <c r="K2974">
        <v>0</v>
      </c>
      <c r="L2974">
        <v>0</v>
      </c>
    </row>
    <row r="2975" spans="1:12" x14ac:dyDescent="0.25">
      <c r="A2975" t="str">
        <f t="shared" si="46"/>
        <v>3802003259032026M04</v>
      </c>
      <c r="B2975">
        <v>51321001</v>
      </c>
      <c r="C2975">
        <v>32</v>
      </c>
      <c r="D2975">
        <v>380200</v>
      </c>
      <c r="E2975">
        <v>325903</v>
      </c>
      <c r="F2975" t="s">
        <v>115</v>
      </c>
      <c r="G2975" t="s">
        <v>66</v>
      </c>
      <c r="H2975">
        <v>25704.799999999999</v>
      </c>
      <c r="I2975">
        <v>25704.799999999999</v>
      </c>
      <c r="J2975">
        <v>0</v>
      </c>
      <c r="K2975">
        <v>0</v>
      </c>
      <c r="L2975">
        <v>0</v>
      </c>
    </row>
    <row r="2976" spans="1:12" x14ac:dyDescent="0.25">
      <c r="A2976" t="str">
        <f t="shared" si="46"/>
        <v>3802003259032026M05</v>
      </c>
      <c r="B2976">
        <v>51321001</v>
      </c>
      <c r="C2976">
        <v>32</v>
      </c>
      <c r="D2976">
        <v>380200</v>
      </c>
      <c r="E2976">
        <v>325903</v>
      </c>
      <c r="F2976" t="s">
        <v>115</v>
      </c>
      <c r="G2976" t="s">
        <v>67</v>
      </c>
      <c r="H2976">
        <v>25704.799999999999</v>
      </c>
      <c r="I2976">
        <v>25704.799999999999</v>
      </c>
      <c r="J2976">
        <v>0</v>
      </c>
      <c r="K2976">
        <v>0</v>
      </c>
      <c r="L2976">
        <v>0</v>
      </c>
    </row>
    <row r="2977" spans="1:12" x14ac:dyDescent="0.25">
      <c r="A2977" t="str">
        <f t="shared" si="46"/>
        <v>3802003259032026M06</v>
      </c>
      <c r="B2977">
        <v>51321001</v>
      </c>
      <c r="C2977">
        <v>32</v>
      </c>
      <c r="D2977">
        <v>380200</v>
      </c>
      <c r="E2977">
        <v>325903</v>
      </c>
      <c r="F2977" t="s">
        <v>115</v>
      </c>
      <c r="G2977" t="s">
        <v>68</v>
      </c>
      <c r="H2977">
        <v>25704.799999999999</v>
      </c>
      <c r="I2977">
        <v>25704.799999999999</v>
      </c>
      <c r="J2977">
        <v>0</v>
      </c>
      <c r="K2977">
        <v>0</v>
      </c>
      <c r="L2977">
        <v>0</v>
      </c>
    </row>
    <row r="2978" spans="1:12" x14ac:dyDescent="0.25">
      <c r="A2978" t="str">
        <f t="shared" si="46"/>
        <v>3802003259032026M07</v>
      </c>
      <c r="B2978">
        <v>51321001</v>
      </c>
      <c r="C2978">
        <v>32</v>
      </c>
      <c r="D2978">
        <v>380200</v>
      </c>
      <c r="E2978">
        <v>325903</v>
      </c>
      <c r="F2978" t="s">
        <v>115</v>
      </c>
      <c r="G2978" t="s">
        <v>69</v>
      </c>
      <c r="H2978">
        <v>25704.799999999999</v>
      </c>
      <c r="I2978">
        <v>25704.799999999999</v>
      </c>
      <c r="J2978">
        <v>0</v>
      </c>
      <c r="K2978">
        <v>0</v>
      </c>
      <c r="L2978">
        <v>0</v>
      </c>
    </row>
    <row r="2979" spans="1:12" x14ac:dyDescent="0.25">
      <c r="A2979" t="str">
        <f t="shared" si="46"/>
        <v>3802003259032026M08</v>
      </c>
      <c r="B2979">
        <v>51321001</v>
      </c>
      <c r="C2979">
        <v>32</v>
      </c>
      <c r="D2979">
        <v>380200</v>
      </c>
      <c r="E2979">
        <v>325903</v>
      </c>
      <c r="F2979" t="s">
        <v>115</v>
      </c>
      <c r="G2979" t="s">
        <v>70</v>
      </c>
      <c r="H2979">
        <v>25704.799999999999</v>
      </c>
      <c r="I2979">
        <v>25704.799999999999</v>
      </c>
      <c r="J2979">
        <v>0</v>
      </c>
      <c r="K2979">
        <v>0</v>
      </c>
      <c r="L2979">
        <v>0</v>
      </c>
    </row>
    <row r="2980" spans="1:12" x14ac:dyDescent="0.25">
      <c r="A2980" t="str">
        <f t="shared" si="46"/>
        <v>3802003259032026M09</v>
      </c>
      <c r="B2980">
        <v>51321001</v>
      </c>
      <c r="C2980">
        <v>32</v>
      </c>
      <c r="D2980">
        <v>380200</v>
      </c>
      <c r="E2980">
        <v>325903</v>
      </c>
      <c r="F2980" t="s">
        <v>115</v>
      </c>
      <c r="G2980" t="s">
        <v>71</v>
      </c>
      <c r="H2980">
        <v>25704.799999999999</v>
      </c>
      <c r="I2980">
        <v>25704.799999999999</v>
      </c>
      <c r="J2980">
        <v>0</v>
      </c>
      <c r="K2980">
        <v>0</v>
      </c>
      <c r="L2980">
        <v>0</v>
      </c>
    </row>
    <row r="2981" spans="1:12" x14ac:dyDescent="0.25">
      <c r="A2981" t="str">
        <f t="shared" si="46"/>
        <v>3802003259032026M10</v>
      </c>
      <c r="B2981">
        <v>51321001</v>
      </c>
      <c r="C2981">
        <v>32</v>
      </c>
      <c r="D2981">
        <v>380200</v>
      </c>
      <c r="E2981">
        <v>325903</v>
      </c>
      <c r="F2981" t="s">
        <v>115</v>
      </c>
      <c r="G2981" t="s">
        <v>72</v>
      </c>
      <c r="H2981">
        <v>62723.6</v>
      </c>
      <c r="I2981">
        <v>0</v>
      </c>
      <c r="J2981">
        <v>62723.6</v>
      </c>
      <c r="K2981">
        <v>0</v>
      </c>
      <c r="L2981">
        <v>0</v>
      </c>
    </row>
    <row r="2982" spans="1:12" x14ac:dyDescent="0.25">
      <c r="A2982" t="str">
        <f t="shared" si="46"/>
        <v>3802003259032026M11</v>
      </c>
      <c r="B2982">
        <v>51321001</v>
      </c>
      <c r="C2982">
        <v>32</v>
      </c>
      <c r="D2982">
        <v>380200</v>
      </c>
      <c r="E2982">
        <v>325903</v>
      </c>
      <c r="F2982" t="s">
        <v>115</v>
      </c>
      <c r="G2982" t="s">
        <v>73</v>
      </c>
      <c r="H2982">
        <v>29818</v>
      </c>
      <c r="I2982">
        <v>0</v>
      </c>
      <c r="J2982">
        <v>29818</v>
      </c>
      <c r="K2982">
        <v>0</v>
      </c>
      <c r="L2982">
        <v>0</v>
      </c>
    </row>
    <row r="2983" spans="1:12" x14ac:dyDescent="0.25">
      <c r="A2983" t="str">
        <f t="shared" si="46"/>
        <v>3802003259032026M12</v>
      </c>
      <c r="B2983">
        <v>51321001</v>
      </c>
      <c r="C2983">
        <v>32</v>
      </c>
      <c r="D2983">
        <v>380200</v>
      </c>
      <c r="E2983">
        <v>325903</v>
      </c>
      <c r="F2983" t="s">
        <v>115</v>
      </c>
      <c r="G2983" t="s">
        <v>74</v>
      </c>
      <c r="H2983">
        <v>59631</v>
      </c>
      <c r="I2983">
        <v>0</v>
      </c>
      <c r="J2983">
        <v>59631</v>
      </c>
      <c r="K2983">
        <v>0</v>
      </c>
      <c r="L2983">
        <v>0</v>
      </c>
    </row>
    <row r="2984" spans="1:12" x14ac:dyDescent="0.25">
      <c r="A2984" t="str">
        <f t="shared" si="46"/>
        <v>3802003259042026M02</v>
      </c>
      <c r="B2984">
        <v>51321001</v>
      </c>
      <c r="C2984">
        <v>32</v>
      </c>
      <c r="D2984">
        <v>380200</v>
      </c>
      <c r="E2984">
        <v>325904</v>
      </c>
      <c r="F2984" t="s">
        <v>115</v>
      </c>
      <c r="G2984" t="s">
        <v>64</v>
      </c>
      <c r="H2984">
        <v>0</v>
      </c>
      <c r="I2984">
        <v>0</v>
      </c>
      <c r="J2984">
        <v>0</v>
      </c>
      <c r="K2984">
        <v>0</v>
      </c>
      <c r="L2984">
        <v>0</v>
      </c>
    </row>
    <row r="2985" spans="1:12" x14ac:dyDescent="0.25">
      <c r="A2985" t="str">
        <f t="shared" si="46"/>
        <v>3802003259042026M03</v>
      </c>
      <c r="B2985">
        <v>51321001</v>
      </c>
      <c r="C2985">
        <v>32</v>
      </c>
      <c r="D2985">
        <v>380200</v>
      </c>
      <c r="E2985">
        <v>325904</v>
      </c>
      <c r="F2985" t="s">
        <v>115</v>
      </c>
      <c r="G2985" t="s">
        <v>65</v>
      </c>
      <c r="H2985">
        <v>13800</v>
      </c>
      <c r="I2985">
        <v>13800</v>
      </c>
      <c r="J2985">
        <v>0</v>
      </c>
      <c r="K2985">
        <v>0</v>
      </c>
      <c r="L2985">
        <v>0</v>
      </c>
    </row>
    <row r="2986" spans="1:12" x14ac:dyDescent="0.25">
      <c r="A2986" t="str">
        <f t="shared" si="46"/>
        <v>3802003259042026M04</v>
      </c>
      <c r="B2986">
        <v>51321001</v>
      </c>
      <c r="C2986">
        <v>32</v>
      </c>
      <c r="D2986">
        <v>380200</v>
      </c>
      <c r="E2986">
        <v>325904</v>
      </c>
      <c r="F2986" t="s">
        <v>115</v>
      </c>
      <c r="G2986" t="s">
        <v>66</v>
      </c>
      <c r="H2986">
        <v>6900</v>
      </c>
      <c r="I2986">
        <v>6900</v>
      </c>
      <c r="J2986">
        <v>0</v>
      </c>
      <c r="K2986">
        <v>0</v>
      </c>
      <c r="L2986">
        <v>0</v>
      </c>
    </row>
    <row r="2987" spans="1:12" x14ac:dyDescent="0.25">
      <c r="A2987" t="str">
        <f t="shared" si="46"/>
        <v>3802003259042026M05</v>
      </c>
      <c r="B2987">
        <v>51321001</v>
      </c>
      <c r="C2987">
        <v>32</v>
      </c>
      <c r="D2987">
        <v>380200</v>
      </c>
      <c r="E2987">
        <v>325904</v>
      </c>
      <c r="F2987" t="s">
        <v>115</v>
      </c>
      <c r="G2987" t="s">
        <v>67</v>
      </c>
      <c r="H2987">
        <v>6900</v>
      </c>
      <c r="I2987">
        <v>6900</v>
      </c>
      <c r="J2987">
        <v>0</v>
      </c>
      <c r="K2987">
        <v>0</v>
      </c>
      <c r="L2987">
        <v>0</v>
      </c>
    </row>
    <row r="2988" spans="1:12" x14ac:dyDescent="0.25">
      <c r="A2988" t="str">
        <f t="shared" si="46"/>
        <v>3802003259042026M06</v>
      </c>
      <c r="B2988">
        <v>51321001</v>
      </c>
      <c r="C2988">
        <v>32</v>
      </c>
      <c r="D2988">
        <v>380200</v>
      </c>
      <c r="E2988">
        <v>325904</v>
      </c>
      <c r="F2988" t="s">
        <v>115</v>
      </c>
      <c r="G2988" t="s">
        <v>68</v>
      </c>
      <c r="H2988">
        <v>6900</v>
      </c>
      <c r="I2988">
        <v>6900</v>
      </c>
      <c r="J2988">
        <v>0</v>
      </c>
      <c r="K2988">
        <v>0</v>
      </c>
      <c r="L2988">
        <v>0</v>
      </c>
    </row>
    <row r="2989" spans="1:12" x14ac:dyDescent="0.25">
      <c r="A2989" t="str">
        <f t="shared" si="46"/>
        <v>3802003259042026M07</v>
      </c>
      <c r="B2989">
        <v>51321001</v>
      </c>
      <c r="C2989">
        <v>32</v>
      </c>
      <c r="D2989">
        <v>380200</v>
      </c>
      <c r="E2989">
        <v>325904</v>
      </c>
      <c r="F2989" t="s">
        <v>115</v>
      </c>
      <c r="G2989" t="s">
        <v>69</v>
      </c>
      <c r="H2989">
        <v>6900</v>
      </c>
      <c r="I2989">
        <v>6900</v>
      </c>
      <c r="J2989">
        <v>0</v>
      </c>
      <c r="K2989">
        <v>0</v>
      </c>
      <c r="L2989">
        <v>0</v>
      </c>
    </row>
    <row r="2990" spans="1:12" x14ac:dyDescent="0.25">
      <c r="A2990" t="str">
        <f t="shared" si="46"/>
        <v>3802003259042026M08</v>
      </c>
      <c r="B2990">
        <v>51321001</v>
      </c>
      <c r="C2990">
        <v>32</v>
      </c>
      <c r="D2990">
        <v>380200</v>
      </c>
      <c r="E2990">
        <v>325904</v>
      </c>
      <c r="F2990" t="s">
        <v>115</v>
      </c>
      <c r="G2990" t="s">
        <v>70</v>
      </c>
      <c r="H2990">
        <v>6900</v>
      </c>
      <c r="I2990">
        <v>6900</v>
      </c>
      <c r="J2990">
        <v>0</v>
      </c>
      <c r="K2990">
        <v>0</v>
      </c>
      <c r="L2990">
        <v>0</v>
      </c>
    </row>
    <row r="2991" spans="1:12" x14ac:dyDescent="0.25">
      <c r="A2991" t="str">
        <f t="shared" si="46"/>
        <v>3802003259042026M09</v>
      </c>
      <c r="B2991">
        <v>51321001</v>
      </c>
      <c r="C2991">
        <v>32</v>
      </c>
      <c r="D2991">
        <v>380200</v>
      </c>
      <c r="E2991">
        <v>325904</v>
      </c>
      <c r="F2991" t="s">
        <v>115</v>
      </c>
      <c r="G2991" t="s">
        <v>71</v>
      </c>
      <c r="H2991">
        <v>6900</v>
      </c>
      <c r="I2991">
        <v>6900</v>
      </c>
      <c r="J2991">
        <v>0</v>
      </c>
      <c r="K2991">
        <v>0</v>
      </c>
      <c r="L2991">
        <v>0</v>
      </c>
    </row>
    <row r="2992" spans="1:12" x14ac:dyDescent="0.25">
      <c r="A2992" t="str">
        <f t="shared" si="46"/>
        <v>3802003259042026M10</v>
      </c>
      <c r="B2992">
        <v>51321001</v>
      </c>
      <c r="C2992">
        <v>32</v>
      </c>
      <c r="D2992">
        <v>380200</v>
      </c>
      <c r="E2992">
        <v>325904</v>
      </c>
      <c r="F2992" t="s">
        <v>115</v>
      </c>
      <c r="G2992" t="s">
        <v>72</v>
      </c>
      <c r="H2992">
        <v>16836</v>
      </c>
      <c r="I2992">
        <v>6900</v>
      </c>
      <c r="J2992">
        <v>9936</v>
      </c>
      <c r="K2992">
        <v>0</v>
      </c>
      <c r="L2992">
        <v>0</v>
      </c>
    </row>
    <row r="2993" spans="1:12" x14ac:dyDescent="0.25">
      <c r="A2993" t="str">
        <f t="shared" si="46"/>
        <v>3802003259042026M11</v>
      </c>
      <c r="B2993">
        <v>51321001</v>
      </c>
      <c r="C2993">
        <v>32</v>
      </c>
      <c r="D2993">
        <v>380200</v>
      </c>
      <c r="E2993">
        <v>325904</v>
      </c>
      <c r="F2993" t="s">
        <v>115</v>
      </c>
      <c r="G2993" t="s">
        <v>73</v>
      </c>
      <c r="H2993">
        <v>8004</v>
      </c>
      <c r="I2993">
        <v>0</v>
      </c>
      <c r="J2993">
        <v>8004</v>
      </c>
      <c r="K2993">
        <v>0</v>
      </c>
      <c r="L2993">
        <v>0</v>
      </c>
    </row>
    <row r="2994" spans="1:12" x14ac:dyDescent="0.25">
      <c r="A2994" t="str">
        <f t="shared" si="46"/>
        <v>3802003259042026M12</v>
      </c>
      <c r="B2994">
        <v>51321001</v>
      </c>
      <c r="C2994">
        <v>32</v>
      </c>
      <c r="D2994">
        <v>380200</v>
      </c>
      <c r="E2994">
        <v>325904</v>
      </c>
      <c r="F2994" t="s">
        <v>115</v>
      </c>
      <c r="G2994" t="s">
        <v>74</v>
      </c>
      <c r="H2994">
        <v>16008</v>
      </c>
      <c r="I2994">
        <v>0</v>
      </c>
      <c r="J2994">
        <v>16008</v>
      </c>
      <c r="K2994">
        <v>0</v>
      </c>
      <c r="L2994">
        <v>0</v>
      </c>
    </row>
    <row r="2995" spans="1:12" x14ac:dyDescent="0.25">
      <c r="A2995" t="str">
        <f t="shared" si="46"/>
        <v>9001103291012026M02</v>
      </c>
      <c r="B2995">
        <v>51321001</v>
      </c>
      <c r="C2995">
        <v>32</v>
      </c>
      <c r="D2995">
        <v>900110</v>
      </c>
      <c r="E2995">
        <v>329101</v>
      </c>
      <c r="F2995" t="s">
        <v>115</v>
      </c>
      <c r="G2995" t="s">
        <v>64</v>
      </c>
      <c r="H2995">
        <v>0</v>
      </c>
      <c r="I2995">
        <v>0</v>
      </c>
      <c r="J2995">
        <v>0</v>
      </c>
      <c r="K2995">
        <v>0</v>
      </c>
      <c r="L2995">
        <v>0</v>
      </c>
    </row>
    <row r="2996" spans="1:12" x14ac:dyDescent="0.25">
      <c r="A2996" t="str">
        <f t="shared" si="46"/>
        <v>9001103291012026M03</v>
      </c>
      <c r="B2996">
        <v>51321001</v>
      </c>
      <c r="C2996">
        <v>32</v>
      </c>
      <c r="D2996">
        <v>900110</v>
      </c>
      <c r="E2996">
        <v>329101</v>
      </c>
      <c r="F2996" t="s">
        <v>115</v>
      </c>
      <c r="G2996" t="s">
        <v>65</v>
      </c>
      <c r="H2996">
        <v>450659.82</v>
      </c>
      <c r="I2996">
        <v>450659.82</v>
      </c>
      <c r="J2996">
        <v>0</v>
      </c>
      <c r="K2996">
        <v>0</v>
      </c>
      <c r="L2996">
        <v>0</v>
      </c>
    </row>
    <row r="2997" spans="1:12" x14ac:dyDescent="0.25">
      <c r="A2997" t="str">
        <f t="shared" si="46"/>
        <v>9001103291012026M04</v>
      </c>
      <c r="B2997">
        <v>51321001</v>
      </c>
      <c r="C2997">
        <v>32</v>
      </c>
      <c r="D2997">
        <v>900110</v>
      </c>
      <c r="E2997">
        <v>329101</v>
      </c>
      <c r="F2997" t="s">
        <v>115</v>
      </c>
      <c r="G2997" t="s">
        <v>66</v>
      </c>
      <c r="H2997">
        <v>225329.91</v>
      </c>
      <c r="I2997">
        <v>225329.91</v>
      </c>
      <c r="J2997">
        <v>0</v>
      </c>
      <c r="K2997">
        <v>0</v>
      </c>
      <c r="L2997">
        <v>0</v>
      </c>
    </row>
    <row r="2998" spans="1:12" x14ac:dyDescent="0.25">
      <c r="A2998" t="str">
        <f t="shared" si="46"/>
        <v>9001103291012026M05</v>
      </c>
      <c r="B2998">
        <v>51321001</v>
      </c>
      <c r="C2998">
        <v>32</v>
      </c>
      <c r="D2998">
        <v>900110</v>
      </c>
      <c r="E2998">
        <v>329101</v>
      </c>
      <c r="F2998" t="s">
        <v>115</v>
      </c>
      <c r="G2998" t="s">
        <v>67</v>
      </c>
      <c r="H2998">
        <v>225329.91</v>
      </c>
      <c r="I2998">
        <v>225329.91</v>
      </c>
      <c r="J2998">
        <v>0</v>
      </c>
      <c r="K2998">
        <v>0</v>
      </c>
      <c r="L2998">
        <v>0</v>
      </c>
    </row>
    <row r="2999" spans="1:12" x14ac:dyDescent="0.25">
      <c r="A2999" t="str">
        <f t="shared" si="46"/>
        <v>9001103291012026M06</v>
      </c>
      <c r="B2999">
        <v>51321001</v>
      </c>
      <c r="C2999">
        <v>32</v>
      </c>
      <c r="D2999">
        <v>900110</v>
      </c>
      <c r="E2999">
        <v>329101</v>
      </c>
      <c r="F2999" t="s">
        <v>115</v>
      </c>
      <c r="G2999" t="s">
        <v>68</v>
      </c>
      <c r="H2999">
        <v>225329.91</v>
      </c>
      <c r="I2999">
        <v>225329.91</v>
      </c>
      <c r="J2999">
        <v>0</v>
      </c>
      <c r="K2999">
        <v>0</v>
      </c>
      <c r="L2999">
        <v>0</v>
      </c>
    </row>
    <row r="3000" spans="1:12" x14ac:dyDescent="0.25">
      <c r="A3000" t="str">
        <f t="shared" si="46"/>
        <v>9001103291012026M07</v>
      </c>
      <c r="B3000">
        <v>51321001</v>
      </c>
      <c r="C3000">
        <v>32</v>
      </c>
      <c r="D3000">
        <v>900110</v>
      </c>
      <c r="E3000">
        <v>329101</v>
      </c>
      <c r="F3000" t="s">
        <v>115</v>
      </c>
      <c r="G3000" t="s">
        <v>69</v>
      </c>
      <c r="H3000">
        <v>225329.91</v>
      </c>
      <c r="I3000">
        <v>225329.91</v>
      </c>
      <c r="J3000">
        <v>0</v>
      </c>
      <c r="K3000">
        <v>0</v>
      </c>
      <c r="L3000">
        <v>0</v>
      </c>
    </row>
    <row r="3001" spans="1:12" x14ac:dyDescent="0.25">
      <c r="A3001" t="str">
        <f t="shared" si="46"/>
        <v>9001103291012026M08</v>
      </c>
      <c r="B3001">
        <v>51321001</v>
      </c>
      <c r="C3001">
        <v>32</v>
      </c>
      <c r="D3001">
        <v>900110</v>
      </c>
      <c r="E3001">
        <v>329101</v>
      </c>
      <c r="F3001" t="s">
        <v>115</v>
      </c>
      <c r="G3001" t="s">
        <v>70</v>
      </c>
      <c r="H3001">
        <v>225329.91</v>
      </c>
      <c r="I3001">
        <v>225329.91</v>
      </c>
      <c r="J3001">
        <v>0</v>
      </c>
      <c r="K3001">
        <v>0</v>
      </c>
      <c r="L3001">
        <v>0</v>
      </c>
    </row>
    <row r="3002" spans="1:12" x14ac:dyDescent="0.25">
      <c r="A3002" t="str">
        <f t="shared" si="46"/>
        <v>9001103291012026M09</v>
      </c>
      <c r="B3002">
        <v>51321001</v>
      </c>
      <c r="C3002">
        <v>32</v>
      </c>
      <c r="D3002">
        <v>900110</v>
      </c>
      <c r="E3002">
        <v>329101</v>
      </c>
      <c r="F3002" t="s">
        <v>115</v>
      </c>
      <c r="G3002" t="s">
        <v>71</v>
      </c>
      <c r="H3002">
        <v>0</v>
      </c>
      <c r="I3002">
        <v>0</v>
      </c>
      <c r="J3002">
        <v>0</v>
      </c>
      <c r="K3002">
        <v>0</v>
      </c>
      <c r="L3002">
        <v>0</v>
      </c>
    </row>
    <row r="3003" spans="1:12" x14ac:dyDescent="0.25">
      <c r="A3003" t="str">
        <f t="shared" si="46"/>
        <v>9001103291012026M10</v>
      </c>
      <c r="B3003">
        <v>51321001</v>
      </c>
      <c r="C3003">
        <v>32</v>
      </c>
      <c r="D3003">
        <v>900110</v>
      </c>
      <c r="E3003">
        <v>329101</v>
      </c>
      <c r="F3003" t="s">
        <v>115</v>
      </c>
      <c r="G3003" t="s">
        <v>72</v>
      </c>
      <c r="H3003">
        <v>820461.43</v>
      </c>
      <c r="I3003">
        <v>0</v>
      </c>
      <c r="J3003">
        <v>820461.43</v>
      </c>
      <c r="K3003">
        <v>0</v>
      </c>
      <c r="L3003">
        <v>0</v>
      </c>
    </row>
    <row r="3004" spans="1:12" x14ac:dyDescent="0.25">
      <c r="A3004" t="str">
        <f t="shared" si="46"/>
        <v>9001103291012026M11</v>
      </c>
      <c r="B3004">
        <v>51321001</v>
      </c>
      <c r="C3004">
        <v>32</v>
      </c>
      <c r="D3004">
        <v>900110</v>
      </c>
      <c r="E3004">
        <v>329101</v>
      </c>
      <c r="F3004" t="s">
        <v>115</v>
      </c>
      <c r="G3004" t="s">
        <v>73</v>
      </c>
      <c r="H3004">
        <v>284044.90000000002</v>
      </c>
      <c r="I3004">
        <v>0</v>
      </c>
      <c r="J3004">
        <v>284044.90000000002</v>
      </c>
      <c r="K3004">
        <v>0</v>
      </c>
      <c r="L3004">
        <v>0</v>
      </c>
    </row>
    <row r="3005" spans="1:12" x14ac:dyDescent="0.25">
      <c r="A3005" t="str">
        <f t="shared" si="46"/>
        <v>9001103291012026M12</v>
      </c>
      <c r="B3005">
        <v>51321001</v>
      </c>
      <c r="C3005">
        <v>32</v>
      </c>
      <c r="D3005">
        <v>900110</v>
      </c>
      <c r="E3005">
        <v>329101</v>
      </c>
      <c r="F3005" t="s">
        <v>115</v>
      </c>
      <c r="G3005" t="s">
        <v>74</v>
      </c>
      <c r="H3005">
        <v>568087.80000000005</v>
      </c>
      <c r="I3005">
        <v>0</v>
      </c>
      <c r="J3005">
        <v>568087.80000000005</v>
      </c>
      <c r="K3005">
        <v>0</v>
      </c>
      <c r="L3005">
        <v>0</v>
      </c>
    </row>
    <row r="3006" spans="1:12" x14ac:dyDescent="0.25">
      <c r="A3006" t="str">
        <f t="shared" si="46"/>
        <v>9001103291022026M02</v>
      </c>
      <c r="B3006">
        <v>51321001</v>
      </c>
      <c r="C3006">
        <v>32</v>
      </c>
      <c r="D3006">
        <v>900110</v>
      </c>
      <c r="E3006">
        <v>329102</v>
      </c>
      <c r="F3006" t="s">
        <v>115</v>
      </c>
      <c r="G3006" t="s">
        <v>64</v>
      </c>
      <c r="H3006">
        <v>0</v>
      </c>
      <c r="I3006">
        <v>0</v>
      </c>
      <c r="J3006">
        <v>0</v>
      </c>
      <c r="K3006">
        <v>0</v>
      </c>
      <c r="L3006">
        <v>0</v>
      </c>
    </row>
    <row r="3007" spans="1:12" x14ac:dyDescent="0.25">
      <c r="A3007" t="str">
        <f t="shared" si="46"/>
        <v>9001103291022026M03</v>
      </c>
      <c r="B3007">
        <v>51321001</v>
      </c>
      <c r="C3007">
        <v>32</v>
      </c>
      <c r="D3007">
        <v>900110</v>
      </c>
      <c r="E3007">
        <v>329102</v>
      </c>
      <c r="F3007" t="s">
        <v>115</v>
      </c>
      <c r="G3007" t="s">
        <v>65</v>
      </c>
      <c r="H3007">
        <v>463668.47999999998</v>
      </c>
      <c r="I3007">
        <v>463668.47999999998</v>
      </c>
      <c r="J3007">
        <v>0</v>
      </c>
      <c r="K3007">
        <v>0</v>
      </c>
      <c r="L3007">
        <v>0</v>
      </c>
    </row>
    <row r="3008" spans="1:12" x14ac:dyDescent="0.25">
      <c r="A3008" t="str">
        <f t="shared" si="46"/>
        <v>9001103291022026M04</v>
      </c>
      <c r="B3008">
        <v>51321001</v>
      </c>
      <c r="C3008">
        <v>32</v>
      </c>
      <c r="D3008">
        <v>900110</v>
      </c>
      <c r="E3008">
        <v>329102</v>
      </c>
      <c r="F3008" t="s">
        <v>115</v>
      </c>
      <c r="G3008" t="s">
        <v>66</v>
      </c>
      <c r="H3008">
        <v>231834.23999999999</v>
      </c>
      <c r="I3008">
        <v>231834.23999999999</v>
      </c>
      <c r="J3008">
        <v>0</v>
      </c>
      <c r="K3008">
        <v>0</v>
      </c>
      <c r="L3008">
        <v>0</v>
      </c>
    </row>
    <row r="3009" spans="1:12" x14ac:dyDescent="0.25">
      <c r="A3009" t="str">
        <f t="shared" si="46"/>
        <v>9001103291022026M05</v>
      </c>
      <c r="B3009">
        <v>51321001</v>
      </c>
      <c r="C3009">
        <v>32</v>
      </c>
      <c r="D3009">
        <v>900110</v>
      </c>
      <c r="E3009">
        <v>329102</v>
      </c>
      <c r="F3009" t="s">
        <v>115</v>
      </c>
      <c r="G3009" t="s">
        <v>67</v>
      </c>
      <c r="H3009">
        <v>231834.23999999999</v>
      </c>
      <c r="I3009">
        <v>231834.23999999999</v>
      </c>
      <c r="J3009">
        <v>0</v>
      </c>
      <c r="K3009">
        <v>0</v>
      </c>
      <c r="L3009">
        <v>0</v>
      </c>
    </row>
    <row r="3010" spans="1:12" x14ac:dyDescent="0.25">
      <c r="A3010" t="str">
        <f t="shared" si="46"/>
        <v>9001103291022026M06</v>
      </c>
      <c r="B3010">
        <v>51321001</v>
      </c>
      <c r="C3010">
        <v>32</v>
      </c>
      <c r="D3010">
        <v>900110</v>
      </c>
      <c r="E3010">
        <v>329102</v>
      </c>
      <c r="F3010" t="s">
        <v>115</v>
      </c>
      <c r="G3010" t="s">
        <v>68</v>
      </c>
      <c r="H3010">
        <v>231834.23999999999</v>
      </c>
      <c r="I3010">
        <v>231834.23999999999</v>
      </c>
      <c r="J3010">
        <v>0</v>
      </c>
      <c r="K3010">
        <v>0</v>
      </c>
      <c r="L3010">
        <v>0</v>
      </c>
    </row>
    <row r="3011" spans="1:12" x14ac:dyDescent="0.25">
      <c r="A3011" t="str">
        <f t="shared" si="46"/>
        <v>9001103291022026M07</v>
      </c>
      <c r="B3011">
        <v>51321001</v>
      </c>
      <c r="C3011">
        <v>32</v>
      </c>
      <c r="D3011">
        <v>900110</v>
      </c>
      <c r="E3011">
        <v>329102</v>
      </c>
      <c r="F3011" t="s">
        <v>115</v>
      </c>
      <c r="G3011" t="s">
        <v>69</v>
      </c>
      <c r="H3011">
        <v>231834.23999999999</v>
      </c>
      <c r="I3011">
        <v>231834.23999999999</v>
      </c>
      <c r="J3011">
        <v>0</v>
      </c>
      <c r="K3011">
        <v>0</v>
      </c>
      <c r="L3011">
        <v>0</v>
      </c>
    </row>
    <row r="3012" spans="1:12" x14ac:dyDescent="0.25">
      <c r="A3012" t="str">
        <f t="shared" si="46"/>
        <v>9001103291022026M08</v>
      </c>
      <c r="B3012">
        <v>51321001</v>
      </c>
      <c r="C3012">
        <v>32</v>
      </c>
      <c r="D3012">
        <v>900110</v>
      </c>
      <c r="E3012">
        <v>329102</v>
      </c>
      <c r="F3012" t="s">
        <v>115</v>
      </c>
      <c r="G3012" t="s">
        <v>70</v>
      </c>
      <c r="H3012">
        <v>231834.23999999999</v>
      </c>
      <c r="I3012">
        <v>231834.23999999999</v>
      </c>
      <c r="J3012">
        <v>0</v>
      </c>
      <c r="K3012">
        <v>0</v>
      </c>
      <c r="L3012">
        <v>0</v>
      </c>
    </row>
    <row r="3013" spans="1:12" x14ac:dyDescent="0.25">
      <c r="A3013" t="str">
        <f t="shared" si="46"/>
        <v>9001103291022026M09</v>
      </c>
      <c r="B3013">
        <v>51321001</v>
      </c>
      <c r="C3013">
        <v>32</v>
      </c>
      <c r="D3013">
        <v>900110</v>
      </c>
      <c r="E3013">
        <v>329102</v>
      </c>
      <c r="F3013" t="s">
        <v>115</v>
      </c>
      <c r="G3013" t="s">
        <v>71</v>
      </c>
      <c r="H3013">
        <v>263047.40000000002</v>
      </c>
      <c r="I3013">
        <v>263047.40000000002</v>
      </c>
      <c r="J3013">
        <v>0</v>
      </c>
      <c r="K3013">
        <v>0</v>
      </c>
      <c r="L3013">
        <v>0</v>
      </c>
    </row>
    <row r="3014" spans="1:12" x14ac:dyDescent="0.25">
      <c r="A3014" t="str">
        <f t="shared" si="46"/>
        <v>9001103291022026M10</v>
      </c>
      <c r="B3014">
        <v>51321001</v>
      </c>
      <c r="C3014">
        <v>32</v>
      </c>
      <c r="D3014">
        <v>900110</v>
      </c>
      <c r="E3014">
        <v>329102</v>
      </c>
      <c r="F3014" t="s">
        <v>115</v>
      </c>
      <c r="G3014" t="s">
        <v>72</v>
      </c>
      <c r="H3014">
        <v>263054.52</v>
      </c>
      <c r="I3014">
        <v>0</v>
      </c>
      <c r="J3014">
        <v>263054.52</v>
      </c>
      <c r="K3014">
        <v>0</v>
      </c>
      <c r="L3014">
        <v>0</v>
      </c>
    </row>
    <row r="3015" spans="1:12" x14ac:dyDescent="0.25">
      <c r="A3015" t="str">
        <f t="shared" si="46"/>
        <v>9001103291022026M11</v>
      </c>
      <c r="B3015">
        <v>51321001</v>
      </c>
      <c r="C3015">
        <v>32</v>
      </c>
      <c r="D3015">
        <v>900110</v>
      </c>
      <c r="E3015">
        <v>329102</v>
      </c>
      <c r="F3015" t="s">
        <v>115</v>
      </c>
      <c r="G3015" t="s">
        <v>73</v>
      </c>
      <c r="H3015">
        <v>263048.3</v>
      </c>
      <c r="I3015">
        <v>0</v>
      </c>
      <c r="J3015">
        <v>263048.3</v>
      </c>
      <c r="K3015">
        <v>0</v>
      </c>
      <c r="L3015">
        <v>0</v>
      </c>
    </row>
    <row r="3016" spans="1:12" x14ac:dyDescent="0.25">
      <c r="A3016" t="str">
        <f t="shared" si="46"/>
        <v>9001103291022026M12</v>
      </c>
      <c r="B3016">
        <v>51321001</v>
      </c>
      <c r="C3016">
        <v>32</v>
      </c>
      <c r="D3016">
        <v>900110</v>
      </c>
      <c r="E3016">
        <v>329102</v>
      </c>
      <c r="F3016" t="s">
        <v>115</v>
      </c>
      <c r="G3016" t="s">
        <v>74</v>
      </c>
      <c r="H3016">
        <v>526087.6</v>
      </c>
      <c r="I3016">
        <v>0</v>
      </c>
      <c r="J3016">
        <v>526087.6</v>
      </c>
      <c r="K3016">
        <v>0</v>
      </c>
      <c r="L3016">
        <v>0</v>
      </c>
    </row>
    <row r="3017" spans="1:12" x14ac:dyDescent="0.25">
      <c r="A3017" t="str">
        <f t="shared" si="46"/>
        <v>501003490012026M02</v>
      </c>
      <c r="B3017">
        <v>51321001</v>
      </c>
      <c r="C3017">
        <v>34</v>
      </c>
      <c r="D3017">
        <v>50100</v>
      </c>
      <c r="E3017">
        <v>349001</v>
      </c>
      <c r="F3017" t="s">
        <v>115</v>
      </c>
      <c r="G3017" t="s">
        <v>64</v>
      </c>
      <c r="H3017">
        <v>0</v>
      </c>
      <c r="I3017">
        <v>0</v>
      </c>
      <c r="J3017">
        <v>0</v>
      </c>
      <c r="K3017">
        <v>0</v>
      </c>
      <c r="L3017">
        <v>0</v>
      </c>
    </row>
    <row r="3018" spans="1:12" x14ac:dyDescent="0.25">
      <c r="A3018" t="str">
        <f t="shared" si="46"/>
        <v>501003490012026M03</v>
      </c>
      <c r="B3018">
        <v>51321001</v>
      </c>
      <c r="C3018">
        <v>34</v>
      </c>
      <c r="D3018">
        <v>50100</v>
      </c>
      <c r="E3018">
        <v>349001</v>
      </c>
      <c r="F3018" t="s">
        <v>115</v>
      </c>
      <c r="G3018" t="s">
        <v>65</v>
      </c>
      <c r="H3018">
        <v>26999.99</v>
      </c>
      <c r="I3018">
        <v>26999.99</v>
      </c>
      <c r="J3018">
        <v>0</v>
      </c>
      <c r="K3018">
        <v>0</v>
      </c>
      <c r="L3018">
        <v>0</v>
      </c>
    </row>
    <row r="3019" spans="1:12" x14ac:dyDescent="0.25">
      <c r="A3019" t="str">
        <f t="shared" ref="A3019:A3082" si="47">D3019&amp;E3019&amp;G3019</f>
        <v>501003490012026M04</v>
      </c>
      <c r="B3019">
        <v>51321001</v>
      </c>
      <c r="C3019">
        <v>34</v>
      </c>
      <c r="D3019">
        <v>50100</v>
      </c>
      <c r="E3019">
        <v>349001</v>
      </c>
      <c r="F3019" t="s">
        <v>115</v>
      </c>
      <c r="G3019" t="s">
        <v>66</v>
      </c>
      <c r="H3019">
        <v>13500</v>
      </c>
      <c r="I3019">
        <v>13500</v>
      </c>
      <c r="J3019">
        <v>0</v>
      </c>
      <c r="K3019">
        <v>0</v>
      </c>
      <c r="L3019">
        <v>0</v>
      </c>
    </row>
    <row r="3020" spans="1:12" x14ac:dyDescent="0.25">
      <c r="A3020" t="str">
        <f t="shared" si="47"/>
        <v>501003490012026M05</v>
      </c>
      <c r="B3020">
        <v>51321001</v>
      </c>
      <c r="C3020">
        <v>34</v>
      </c>
      <c r="D3020">
        <v>50100</v>
      </c>
      <c r="E3020">
        <v>349001</v>
      </c>
      <c r="F3020" t="s">
        <v>115</v>
      </c>
      <c r="G3020" t="s">
        <v>67</v>
      </c>
      <c r="H3020">
        <v>13500</v>
      </c>
      <c r="I3020">
        <v>13500</v>
      </c>
      <c r="J3020">
        <v>0</v>
      </c>
      <c r="K3020">
        <v>0</v>
      </c>
      <c r="L3020">
        <v>0</v>
      </c>
    </row>
    <row r="3021" spans="1:12" x14ac:dyDescent="0.25">
      <c r="A3021" t="str">
        <f t="shared" si="47"/>
        <v>501003490012026M06</v>
      </c>
      <c r="B3021">
        <v>51321001</v>
      </c>
      <c r="C3021">
        <v>34</v>
      </c>
      <c r="D3021">
        <v>50100</v>
      </c>
      <c r="E3021">
        <v>349001</v>
      </c>
      <c r="F3021" t="s">
        <v>115</v>
      </c>
      <c r="G3021" t="s">
        <v>68</v>
      </c>
      <c r="H3021">
        <v>13500</v>
      </c>
      <c r="I3021">
        <v>13500</v>
      </c>
      <c r="J3021">
        <v>0</v>
      </c>
      <c r="K3021">
        <v>0</v>
      </c>
      <c r="L3021">
        <v>0</v>
      </c>
    </row>
    <row r="3022" spans="1:12" x14ac:dyDescent="0.25">
      <c r="A3022" t="str">
        <f t="shared" si="47"/>
        <v>501003490012026M07</v>
      </c>
      <c r="B3022">
        <v>51321001</v>
      </c>
      <c r="C3022">
        <v>34</v>
      </c>
      <c r="D3022">
        <v>50100</v>
      </c>
      <c r="E3022">
        <v>349001</v>
      </c>
      <c r="F3022" t="s">
        <v>115</v>
      </c>
      <c r="G3022" t="s">
        <v>69</v>
      </c>
      <c r="H3022">
        <v>13500</v>
      </c>
      <c r="I3022">
        <v>13500</v>
      </c>
      <c r="J3022">
        <v>0</v>
      </c>
      <c r="K3022">
        <v>0</v>
      </c>
      <c r="L3022">
        <v>0</v>
      </c>
    </row>
    <row r="3023" spans="1:12" x14ac:dyDescent="0.25">
      <c r="A3023" t="str">
        <f t="shared" si="47"/>
        <v>501003490012026M08</v>
      </c>
      <c r="B3023">
        <v>51321001</v>
      </c>
      <c r="C3023">
        <v>34</v>
      </c>
      <c r="D3023">
        <v>50100</v>
      </c>
      <c r="E3023">
        <v>349001</v>
      </c>
      <c r="F3023" t="s">
        <v>115</v>
      </c>
      <c r="G3023" t="s">
        <v>70</v>
      </c>
      <c r="H3023">
        <v>13500</v>
      </c>
      <c r="I3023">
        <v>13500</v>
      </c>
      <c r="J3023">
        <v>0</v>
      </c>
      <c r="K3023">
        <v>0</v>
      </c>
      <c r="L3023">
        <v>0</v>
      </c>
    </row>
    <row r="3024" spans="1:12" x14ac:dyDescent="0.25">
      <c r="A3024" t="str">
        <f t="shared" si="47"/>
        <v>501003490012026M09</v>
      </c>
      <c r="B3024">
        <v>51321001</v>
      </c>
      <c r="C3024">
        <v>34</v>
      </c>
      <c r="D3024">
        <v>50100</v>
      </c>
      <c r="E3024">
        <v>349001</v>
      </c>
      <c r="F3024" t="s">
        <v>115</v>
      </c>
      <c r="G3024" t="s">
        <v>71</v>
      </c>
      <c r="H3024">
        <v>13500</v>
      </c>
      <c r="I3024">
        <v>13500</v>
      </c>
      <c r="J3024">
        <v>0</v>
      </c>
      <c r="K3024">
        <v>0</v>
      </c>
      <c r="L3024">
        <v>0</v>
      </c>
    </row>
    <row r="3025" spans="1:12" x14ac:dyDescent="0.25">
      <c r="A3025" t="str">
        <f t="shared" si="47"/>
        <v>501003490012026M10</v>
      </c>
      <c r="B3025">
        <v>51321001</v>
      </c>
      <c r="C3025">
        <v>34</v>
      </c>
      <c r="D3025">
        <v>50100</v>
      </c>
      <c r="E3025">
        <v>349001</v>
      </c>
      <c r="F3025" t="s">
        <v>115</v>
      </c>
      <c r="G3025" t="s">
        <v>72</v>
      </c>
      <c r="H3025">
        <v>13500.01</v>
      </c>
      <c r="I3025">
        <v>13500</v>
      </c>
      <c r="J3025">
        <v>0.01</v>
      </c>
      <c r="K3025">
        <v>0</v>
      </c>
      <c r="L3025">
        <v>0</v>
      </c>
    </row>
    <row r="3026" spans="1:12" x14ac:dyDescent="0.25">
      <c r="A3026" t="str">
        <f t="shared" si="47"/>
        <v>501003490012026M11</v>
      </c>
      <c r="B3026">
        <v>51321001</v>
      </c>
      <c r="C3026">
        <v>34</v>
      </c>
      <c r="D3026">
        <v>50100</v>
      </c>
      <c r="E3026">
        <v>349001</v>
      </c>
      <c r="F3026" t="s">
        <v>115</v>
      </c>
      <c r="G3026" t="s">
        <v>73</v>
      </c>
      <c r="H3026">
        <v>13500</v>
      </c>
      <c r="I3026">
        <v>0</v>
      </c>
      <c r="J3026">
        <v>13500</v>
      </c>
      <c r="K3026">
        <v>0</v>
      </c>
      <c r="L3026">
        <v>0</v>
      </c>
    </row>
    <row r="3027" spans="1:12" x14ac:dyDescent="0.25">
      <c r="A3027" t="str">
        <f t="shared" si="47"/>
        <v>501003490012026M12</v>
      </c>
      <c r="B3027">
        <v>51321001</v>
      </c>
      <c r="C3027">
        <v>34</v>
      </c>
      <c r="D3027">
        <v>50100</v>
      </c>
      <c r="E3027">
        <v>349001</v>
      </c>
      <c r="F3027" t="s">
        <v>115</v>
      </c>
      <c r="G3027" t="s">
        <v>74</v>
      </c>
      <c r="H3027">
        <v>27000</v>
      </c>
      <c r="I3027">
        <v>0</v>
      </c>
      <c r="J3027">
        <v>27000</v>
      </c>
      <c r="K3027">
        <v>0</v>
      </c>
      <c r="L3027">
        <v>0</v>
      </c>
    </row>
    <row r="3028" spans="1:12" x14ac:dyDescent="0.25">
      <c r="A3028" t="str">
        <f t="shared" si="47"/>
        <v>7310034P9012026M02</v>
      </c>
      <c r="B3028">
        <v>51321001</v>
      </c>
      <c r="C3028">
        <v>34</v>
      </c>
      <c r="D3028">
        <v>73100</v>
      </c>
      <c r="E3028" t="s">
        <v>88</v>
      </c>
      <c r="F3028" t="s">
        <v>115</v>
      </c>
      <c r="G3028" t="s">
        <v>64</v>
      </c>
      <c r="H3028">
        <v>0</v>
      </c>
      <c r="I3028">
        <v>0</v>
      </c>
      <c r="J3028">
        <v>0</v>
      </c>
      <c r="K3028">
        <v>0</v>
      </c>
      <c r="L3028">
        <v>0</v>
      </c>
    </row>
    <row r="3029" spans="1:12" x14ac:dyDescent="0.25">
      <c r="A3029" t="str">
        <f t="shared" si="47"/>
        <v>7310034P9012026M03</v>
      </c>
      <c r="B3029">
        <v>51321001</v>
      </c>
      <c r="C3029">
        <v>34</v>
      </c>
      <c r="D3029">
        <v>73100</v>
      </c>
      <c r="E3029" t="s">
        <v>88</v>
      </c>
      <c r="F3029" t="s">
        <v>115</v>
      </c>
      <c r="G3029" t="s">
        <v>65</v>
      </c>
      <c r="H3029">
        <v>0</v>
      </c>
      <c r="I3029">
        <v>0</v>
      </c>
      <c r="J3029">
        <v>0</v>
      </c>
      <c r="K3029">
        <v>0</v>
      </c>
      <c r="L3029">
        <v>0</v>
      </c>
    </row>
    <row r="3030" spans="1:12" x14ac:dyDescent="0.25">
      <c r="A3030" t="str">
        <f t="shared" si="47"/>
        <v>7310034P9012026M04</v>
      </c>
      <c r="B3030">
        <v>51321001</v>
      </c>
      <c r="C3030">
        <v>34</v>
      </c>
      <c r="D3030">
        <v>73100</v>
      </c>
      <c r="E3030" t="s">
        <v>88</v>
      </c>
      <c r="F3030" t="s">
        <v>115</v>
      </c>
      <c r="G3030" t="s">
        <v>66</v>
      </c>
      <c r="H3030">
        <v>21046.31</v>
      </c>
      <c r="I3030">
        <v>21046.31</v>
      </c>
      <c r="J3030">
        <v>0</v>
      </c>
      <c r="K3030">
        <v>0</v>
      </c>
      <c r="L3030">
        <v>0</v>
      </c>
    </row>
    <row r="3031" spans="1:12" x14ac:dyDescent="0.25">
      <c r="A3031" t="str">
        <f t="shared" si="47"/>
        <v>7310034P9012026M05</v>
      </c>
      <c r="B3031">
        <v>51321001</v>
      </c>
      <c r="C3031">
        <v>34</v>
      </c>
      <c r="D3031">
        <v>73100</v>
      </c>
      <c r="E3031" t="s">
        <v>88</v>
      </c>
      <c r="F3031" t="s">
        <v>115</v>
      </c>
      <c r="G3031" t="s">
        <v>67</v>
      </c>
      <c r="H3031">
        <v>7015.44</v>
      </c>
      <c r="I3031">
        <v>7015.44</v>
      </c>
      <c r="J3031">
        <v>0</v>
      </c>
      <c r="K3031">
        <v>0</v>
      </c>
      <c r="L3031">
        <v>0</v>
      </c>
    </row>
    <row r="3032" spans="1:12" x14ac:dyDescent="0.25">
      <c r="A3032" t="str">
        <f t="shared" si="47"/>
        <v>7310034P9012026M06</v>
      </c>
      <c r="B3032">
        <v>51321001</v>
      </c>
      <c r="C3032">
        <v>34</v>
      </c>
      <c r="D3032">
        <v>73100</v>
      </c>
      <c r="E3032" t="s">
        <v>88</v>
      </c>
      <c r="F3032" t="s">
        <v>115</v>
      </c>
      <c r="G3032" t="s">
        <v>68</v>
      </c>
      <c r="H3032">
        <v>7015.44</v>
      </c>
      <c r="I3032">
        <v>7015.44</v>
      </c>
      <c r="J3032">
        <v>0</v>
      </c>
      <c r="K3032">
        <v>0</v>
      </c>
      <c r="L3032">
        <v>0</v>
      </c>
    </row>
    <row r="3033" spans="1:12" x14ac:dyDescent="0.25">
      <c r="A3033" t="str">
        <f t="shared" si="47"/>
        <v>7310034P9012026M07</v>
      </c>
      <c r="B3033">
        <v>51321001</v>
      </c>
      <c r="C3033">
        <v>34</v>
      </c>
      <c r="D3033">
        <v>73100</v>
      </c>
      <c r="E3033" t="s">
        <v>88</v>
      </c>
      <c r="F3033" t="s">
        <v>115</v>
      </c>
      <c r="G3033" t="s">
        <v>69</v>
      </c>
      <c r="H3033">
        <v>0</v>
      </c>
      <c r="I3033">
        <v>0</v>
      </c>
      <c r="J3033">
        <v>0</v>
      </c>
      <c r="K3033">
        <v>0</v>
      </c>
      <c r="L3033">
        <v>0</v>
      </c>
    </row>
    <row r="3034" spans="1:12" x14ac:dyDescent="0.25">
      <c r="A3034" t="str">
        <f t="shared" si="47"/>
        <v>7310034P9012026M08</v>
      </c>
      <c r="B3034">
        <v>51321001</v>
      </c>
      <c r="C3034">
        <v>34</v>
      </c>
      <c r="D3034">
        <v>73100</v>
      </c>
      <c r="E3034" t="s">
        <v>88</v>
      </c>
      <c r="F3034" t="s">
        <v>115</v>
      </c>
      <c r="G3034" t="s">
        <v>70</v>
      </c>
      <c r="H3034">
        <v>0</v>
      </c>
      <c r="I3034">
        <v>0</v>
      </c>
      <c r="J3034">
        <v>0</v>
      </c>
      <c r="K3034">
        <v>0</v>
      </c>
      <c r="L3034">
        <v>0</v>
      </c>
    </row>
    <row r="3035" spans="1:12" x14ac:dyDescent="0.25">
      <c r="A3035" t="str">
        <f t="shared" si="47"/>
        <v>7310034P9012026M09</v>
      </c>
      <c r="B3035">
        <v>51321001</v>
      </c>
      <c r="C3035">
        <v>34</v>
      </c>
      <c r="D3035">
        <v>73100</v>
      </c>
      <c r="E3035" t="s">
        <v>88</v>
      </c>
      <c r="F3035" t="s">
        <v>115</v>
      </c>
      <c r="G3035" t="s">
        <v>71</v>
      </c>
      <c r="H3035">
        <v>0</v>
      </c>
      <c r="I3035">
        <v>0</v>
      </c>
      <c r="J3035">
        <v>0</v>
      </c>
      <c r="K3035">
        <v>0</v>
      </c>
      <c r="L3035">
        <v>0</v>
      </c>
    </row>
    <row r="3036" spans="1:12" x14ac:dyDescent="0.25">
      <c r="A3036" t="str">
        <f t="shared" si="47"/>
        <v>7310034P9012026M10</v>
      </c>
      <c r="B3036">
        <v>51321001</v>
      </c>
      <c r="C3036">
        <v>34</v>
      </c>
      <c r="D3036">
        <v>73100</v>
      </c>
      <c r="E3036" t="s">
        <v>88</v>
      </c>
      <c r="F3036" t="s">
        <v>115</v>
      </c>
      <c r="G3036" t="s">
        <v>72</v>
      </c>
      <c r="H3036">
        <v>28066.81</v>
      </c>
      <c r="I3036">
        <v>0</v>
      </c>
      <c r="J3036">
        <v>1.21</v>
      </c>
      <c r="K3036">
        <v>0</v>
      </c>
      <c r="L3036">
        <v>28065.599999999999</v>
      </c>
    </row>
    <row r="3037" spans="1:12" x14ac:dyDescent="0.25">
      <c r="A3037" t="str">
        <f t="shared" si="47"/>
        <v>7310034P9012026M11</v>
      </c>
      <c r="B3037">
        <v>51321001</v>
      </c>
      <c r="C3037">
        <v>34</v>
      </c>
      <c r="D3037">
        <v>73100</v>
      </c>
      <c r="E3037" t="s">
        <v>88</v>
      </c>
      <c r="F3037" t="s">
        <v>115</v>
      </c>
      <c r="G3037" t="s">
        <v>73</v>
      </c>
      <c r="H3037">
        <v>7016</v>
      </c>
      <c r="I3037">
        <v>0</v>
      </c>
      <c r="J3037">
        <v>0</v>
      </c>
      <c r="K3037">
        <v>0</v>
      </c>
      <c r="L3037">
        <v>7016</v>
      </c>
    </row>
    <row r="3038" spans="1:12" x14ac:dyDescent="0.25">
      <c r="A3038" t="str">
        <f t="shared" si="47"/>
        <v>7310034P9012026M12</v>
      </c>
      <c r="B3038">
        <v>51321001</v>
      </c>
      <c r="C3038">
        <v>34</v>
      </c>
      <c r="D3038">
        <v>73100</v>
      </c>
      <c r="E3038" t="s">
        <v>88</v>
      </c>
      <c r="F3038" t="s">
        <v>115</v>
      </c>
      <c r="G3038" t="s">
        <v>74</v>
      </c>
      <c r="H3038">
        <v>14029</v>
      </c>
      <c r="I3038">
        <v>0</v>
      </c>
      <c r="J3038">
        <v>0</v>
      </c>
      <c r="K3038">
        <v>0</v>
      </c>
      <c r="L3038">
        <v>14029</v>
      </c>
    </row>
    <row r="3039" spans="1:12" x14ac:dyDescent="0.25">
      <c r="A3039" t="str">
        <f t="shared" si="47"/>
        <v>731103493012026M02</v>
      </c>
      <c r="B3039">
        <v>51321001</v>
      </c>
      <c r="C3039">
        <v>34</v>
      </c>
      <c r="D3039">
        <v>73110</v>
      </c>
      <c r="E3039">
        <v>349301</v>
      </c>
      <c r="F3039" t="s">
        <v>115</v>
      </c>
      <c r="G3039" t="s">
        <v>64</v>
      </c>
      <c r="H3039">
        <v>0</v>
      </c>
      <c r="I3039">
        <v>0</v>
      </c>
      <c r="J3039">
        <v>0</v>
      </c>
      <c r="K3039">
        <v>0</v>
      </c>
      <c r="L3039">
        <v>0</v>
      </c>
    </row>
    <row r="3040" spans="1:12" x14ac:dyDescent="0.25">
      <c r="A3040" t="str">
        <f t="shared" si="47"/>
        <v>731103493012026M03</v>
      </c>
      <c r="B3040">
        <v>51321001</v>
      </c>
      <c r="C3040">
        <v>34</v>
      </c>
      <c r="D3040">
        <v>73110</v>
      </c>
      <c r="E3040">
        <v>349301</v>
      </c>
      <c r="F3040" t="s">
        <v>115</v>
      </c>
      <c r="G3040" t="s">
        <v>65</v>
      </c>
      <c r="H3040">
        <v>0</v>
      </c>
      <c r="I3040">
        <v>0</v>
      </c>
      <c r="J3040">
        <v>0</v>
      </c>
      <c r="K3040">
        <v>0</v>
      </c>
      <c r="L3040">
        <v>0</v>
      </c>
    </row>
    <row r="3041" spans="1:12" x14ac:dyDescent="0.25">
      <c r="A3041" t="str">
        <f t="shared" si="47"/>
        <v>731103493012026M04</v>
      </c>
      <c r="B3041">
        <v>51321001</v>
      </c>
      <c r="C3041">
        <v>34</v>
      </c>
      <c r="D3041">
        <v>73110</v>
      </c>
      <c r="E3041">
        <v>349301</v>
      </c>
      <c r="F3041" t="s">
        <v>115</v>
      </c>
      <c r="G3041" t="s">
        <v>66</v>
      </c>
      <c r="H3041">
        <v>27839.64</v>
      </c>
      <c r="I3041">
        <v>27839.64</v>
      </c>
      <c r="J3041">
        <v>0</v>
      </c>
      <c r="K3041">
        <v>0</v>
      </c>
      <c r="L3041">
        <v>0</v>
      </c>
    </row>
    <row r="3042" spans="1:12" x14ac:dyDescent="0.25">
      <c r="A3042" t="str">
        <f t="shared" si="47"/>
        <v>731103493012026M05</v>
      </c>
      <c r="B3042">
        <v>51321001</v>
      </c>
      <c r="C3042">
        <v>34</v>
      </c>
      <c r="D3042">
        <v>73110</v>
      </c>
      <c r="E3042">
        <v>349301</v>
      </c>
      <c r="F3042" t="s">
        <v>115</v>
      </c>
      <c r="G3042" t="s">
        <v>67</v>
      </c>
      <c r="H3042">
        <v>9279.8799999999992</v>
      </c>
      <c r="I3042">
        <v>9279.8799999999992</v>
      </c>
      <c r="J3042">
        <v>0</v>
      </c>
      <c r="K3042">
        <v>0</v>
      </c>
      <c r="L3042">
        <v>0</v>
      </c>
    </row>
    <row r="3043" spans="1:12" x14ac:dyDescent="0.25">
      <c r="A3043" t="str">
        <f t="shared" si="47"/>
        <v>731103493012026M06</v>
      </c>
      <c r="B3043">
        <v>51321001</v>
      </c>
      <c r="C3043">
        <v>34</v>
      </c>
      <c r="D3043">
        <v>73110</v>
      </c>
      <c r="E3043">
        <v>349301</v>
      </c>
      <c r="F3043" t="s">
        <v>115</v>
      </c>
      <c r="G3043" t="s">
        <v>68</v>
      </c>
      <c r="H3043">
        <v>9279.8799999999992</v>
      </c>
      <c r="I3043">
        <v>9279.8799999999992</v>
      </c>
      <c r="J3043">
        <v>0</v>
      </c>
      <c r="K3043">
        <v>0</v>
      </c>
      <c r="L3043">
        <v>0</v>
      </c>
    </row>
    <row r="3044" spans="1:12" x14ac:dyDescent="0.25">
      <c r="A3044" t="str">
        <f t="shared" si="47"/>
        <v>731103493012026M07</v>
      </c>
      <c r="B3044">
        <v>51321001</v>
      </c>
      <c r="C3044">
        <v>34</v>
      </c>
      <c r="D3044">
        <v>73110</v>
      </c>
      <c r="E3044">
        <v>349301</v>
      </c>
      <c r="F3044" t="s">
        <v>115</v>
      </c>
      <c r="G3044" t="s">
        <v>69</v>
      </c>
      <c r="H3044">
        <v>0</v>
      </c>
      <c r="I3044">
        <v>0</v>
      </c>
      <c r="J3044">
        <v>0</v>
      </c>
      <c r="K3044">
        <v>0</v>
      </c>
      <c r="L3044">
        <v>0</v>
      </c>
    </row>
    <row r="3045" spans="1:12" x14ac:dyDescent="0.25">
      <c r="A3045" t="str">
        <f t="shared" si="47"/>
        <v>731103493012026M08</v>
      </c>
      <c r="B3045">
        <v>51321001</v>
      </c>
      <c r="C3045">
        <v>34</v>
      </c>
      <c r="D3045">
        <v>73110</v>
      </c>
      <c r="E3045">
        <v>349301</v>
      </c>
      <c r="F3045" t="s">
        <v>115</v>
      </c>
      <c r="G3045" t="s">
        <v>70</v>
      </c>
      <c r="H3045">
        <v>0</v>
      </c>
      <c r="I3045">
        <v>0</v>
      </c>
      <c r="J3045">
        <v>0</v>
      </c>
      <c r="K3045">
        <v>0</v>
      </c>
      <c r="L3045">
        <v>0</v>
      </c>
    </row>
    <row r="3046" spans="1:12" x14ac:dyDescent="0.25">
      <c r="A3046" t="str">
        <f t="shared" si="47"/>
        <v>731103493012026M09</v>
      </c>
      <c r="B3046">
        <v>51321001</v>
      </c>
      <c r="C3046">
        <v>34</v>
      </c>
      <c r="D3046">
        <v>73110</v>
      </c>
      <c r="E3046">
        <v>349301</v>
      </c>
      <c r="F3046" t="s">
        <v>115</v>
      </c>
      <c r="G3046" t="s">
        <v>71</v>
      </c>
      <c r="H3046">
        <v>0</v>
      </c>
      <c r="I3046">
        <v>0</v>
      </c>
      <c r="J3046">
        <v>0</v>
      </c>
      <c r="K3046">
        <v>0</v>
      </c>
      <c r="L3046">
        <v>0</v>
      </c>
    </row>
    <row r="3047" spans="1:12" x14ac:dyDescent="0.25">
      <c r="A3047" t="str">
        <f t="shared" si="47"/>
        <v>731103493012026M10</v>
      </c>
      <c r="B3047">
        <v>51321001</v>
      </c>
      <c r="C3047">
        <v>34</v>
      </c>
      <c r="D3047">
        <v>73110</v>
      </c>
      <c r="E3047">
        <v>349301</v>
      </c>
      <c r="F3047" t="s">
        <v>115</v>
      </c>
      <c r="G3047" t="s">
        <v>72</v>
      </c>
      <c r="H3047">
        <v>37120.6</v>
      </c>
      <c r="I3047">
        <v>0</v>
      </c>
      <c r="J3047">
        <v>37120.6</v>
      </c>
      <c r="K3047">
        <v>0</v>
      </c>
      <c r="L3047">
        <v>0</v>
      </c>
    </row>
    <row r="3048" spans="1:12" x14ac:dyDescent="0.25">
      <c r="A3048" t="str">
        <f t="shared" si="47"/>
        <v>731103493012026M11</v>
      </c>
      <c r="B3048">
        <v>51321001</v>
      </c>
      <c r="C3048">
        <v>34</v>
      </c>
      <c r="D3048">
        <v>73110</v>
      </c>
      <c r="E3048">
        <v>349301</v>
      </c>
      <c r="F3048" t="s">
        <v>115</v>
      </c>
      <c r="G3048" t="s">
        <v>73</v>
      </c>
      <c r="H3048">
        <v>9280</v>
      </c>
      <c r="I3048">
        <v>0</v>
      </c>
      <c r="J3048">
        <v>9280</v>
      </c>
      <c r="K3048">
        <v>0</v>
      </c>
      <c r="L3048">
        <v>0</v>
      </c>
    </row>
    <row r="3049" spans="1:12" x14ac:dyDescent="0.25">
      <c r="A3049" t="str">
        <f t="shared" si="47"/>
        <v>731103493012026M12</v>
      </c>
      <c r="B3049">
        <v>51321001</v>
      </c>
      <c r="C3049">
        <v>34</v>
      </c>
      <c r="D3049">
        <v>73110</v>
      </c>
      <c r="E3049">
        <v>349301</v>
      </c>
      <c r="F3049" t="s">
        <v>115</v>
      </c>
      <c r="G3049" t="s">
        <v>74</v>
      </c>
      <c r="H3049">
        <v>18560</v>
      </c>
      <c r="I3049">
        <v>0</v>
      </c>
      <c r="J3049">
        <v>18560</v>
      </c>
      <c r="K3049">
        <v>0</v>
      </c>
      <c r="L3049">
        <v>0</v>
      </c>
    </row>
    <row r="3050" spans="1:12" x14ac:dyDescent="0.25">
      <c r="A3050" t="str">
        <f t="shared" si="47"/>
        <v>1401003490012026M02</v>
      </c>
      <c r="B3050">
        <v>51321001</v>
      </c>
      <c r="C3050">
        <v>34</v>
      </c>
      <c r="D3050">
        <v>140100</v>
      </c>
      <c r="E3050">
        <v>349001</v>
      </c>
      <c r="F3050" t="s">
        <v>115</v>
      </c>
      <c r="G3050" t="s">
        <v>64</v>
      </c>
      <c r="H3050">
        <v>0</v>
      </c>
      <c r="I3050">
        <v>0</v>
      </c>
      <c r="J3050">
        <v>0</v>
      </c>
      <c r="K3050">
        <v>0</v>
      </c>
      <c r="L3050">
        <v>0</v>
      </c>
    </row>
    <row r="3051" spans="1:12" x14ac:dyDescent="0.25">
      <c r="A3051" t="str">
        <f t="shared" si="47"/>
        <v>1401003490012026M03</v>
      </c>
      <c r="B3051">
        <v>51321001</v>
      </c>
      <c r="C3051">
        <v>34</v>
      </c>
      <c r="D3051">
        <v>140100</v>
      </c>
      <c r="E3051">
        <v>349001</v>
      </c>
      <c r="F3051" t="s">
        <v>115</v>
      </c>
      <c r="G3051" t="s">
        <v>65</v>
      </c>
      <c r="H3051">
        <v>114189.96</v>
      </c>
      <c r="I3051">
        <v>114189.96</v>
      </c>
      <c r="J3051">
        <v>0</v>
      </c>
      <c r="K3051">
        <v>0</v>
      </c>
      <c r="L3051">
        <v>0</v>
      </c>
    </row>
    <row r="3052" spans="1:12" x14ac:dyDescent="0.25">
      <c r="A3052" t="str">
        <f t="shared" si="47"/>
        <v>1401003490012026M04</v>
      </c>
      <c r="B3052">
        <v>51321001</v>
      </c>
      <c r="C3052">
        <v>34</v>
      </c>
      <c r="D3052">
        <v>140100</v>
      </c>
      <c r="E3052">
        <v>349001</v>
      </c>
      <c r="F3052" t="s">
        <v>115</v>
      </c>
      <c r="G3052" t="s">
        <v>66</v>
      </c>
      <c r="H3052">
        <v>57094.98</v>
      </c>
      <c r="I3052">
        <v>57094.98</v>
      </c>
      <c r="J3052">
        <v>0</v>
      </c>
      <c r="K3052">
        <v>0</v>
      </c>
      <c r="L3052">
        <v>0</v>
      </c>
    </row>
    <row r="3053" spans="1:12" x14ac:dyDescent="0.25">
      <c r="A3053" t="str">
        <f t="shared" si="47"/>
        <v>1401003490012026M05</v>
      </c>
      <c r="B3053">
        <v>51321001</v>
      </c>
      <c r="C3053">
        <v>34</v>
      </c>
      <c r="D3053">
        <v>140100</v>
      </c>
      <c r="E3053">
        <v>349001</v>
      </c>
      <c r="F3053" t="s">
        <v>115</v>
      </c>
      <c r="G3053" t="s">
        <v>67</v>
      </c>
      <c r="H3053">
        <v>57094.98</v>
      </c>
      <c r="I3053">
        <v>57094.98</v>
      </c>
      <c r="J3053">
        <v>0</v>
      </c>
      <c r="K3053">
        <v>0</v>
      </c>
      <c r="L3053">
        <v>0</v>
      </c>
    </row>
    <row r="3054" spans="1:12" x14ac:dyDescent="0.25">
      <c r="A3054" t="str">
        <f t="shared" si="47"/>
        <v>1401003490012026M06</v>
      </c>
      <c r="B3054">
        <v>51321001</v>
      </c>
      <c r="C3054">
        <v>34</v>
      </c>
      <c r="D3054">
        <v>140100</v>
      </c>
      <c r="E3054">
        <v>349001</v>
      </c>
      <c r="F3054" t="s">
        <v>115</v>
      </c>
      <c r="G3054" t="s">
        <v>68</v>
      </c>
      <c r="H3054">
        <v>57094.98</v>
      </c>
      <c r="I3054">
        <v>57094.98</v>
      </c>
      <c r="J3054">
        <v>0</v>
      </c>
      <c r="K3054">
        <v>0</v>
      </c>
      <c r="L3054">
        <v>0</v>
      </c>
    </row>
    <row r="3055" spans="1:12" x14ac:dyDescent="0.25">
      <c r="A3055" t="str">
        <f t="shared" si="47"/>
        <v>1401003490012026M07</v>
      </c>
      <c r="B3055">
        <v>51321001</v>
      </c>
      <c r="C3055">
        <v>34</v>
      </c>
      <c r="D3055">
        <v>140100</v>
      </c>
      <c r="E3055">
        <v>349001</v>
      </c>
      <c r="F3055" t="s">
        <v>115</v>
      </c>
      <c r="G3055" t="s">
        <v>69</v>
      </c>
      <c r="H3055">
        <v>57094.98</v>
      </c>
      <c r="I3055">
        <v>57094.98</v>
      </c>
      <c r="J3055">
        <v>0</v>
      </c>
      <c r="K3055">
        <v>0</v>
      </c>
      <c r="L3055">
        <v>0</v>
      </c>
    </row>
    <row r="3056" spans="1:12" x14ac:dyDescent="0.25">
      <c r="A3056" t="str">
        <f t="shared" si="47"/>
        <v>1401003490012026M08</v>
      </c>
      <c r="B3056">
        <v>51321001</v>
      </c>
      <c r="C3056">
        <v>34</v>
      </c>
      <c r="D3056">
        <v>140100</v>
      </c>
      <c r="E3056">
        <v>349001</v>
      </c>
      <c r="F3056" t="s">
        <v>115</v>
      </c>
      <c r="G3056" t="s">
        <v>70</v>
      </c>
      <c r="H3056">
        <v>57094.98</v>
      </c>
      <c r="I3056">
        <v>57094.98</v>
      </c>
      <c r="J3056">
        <v>0</v>
      </c>
      <c r="K3056">
        <v>0</v>
      </c>
      <c r="L3056">
        <v>0</v>
      </c>
    </row>
    <row r="3057" spans="1:12" x14ac:dyDescent="0.25">
      <c r="A3057" t="str">
        <f t="shared" si="47"/>
        <v>1401003490012026M09</v>
      </c>
      <c r="B3057">
        <v>51321001</v>
      </c>
      <c r="C3057">
        <v>34</v>
      </c>
      <c r="D3057">
        <v>140100</v>
      </c>
      <c r="E3057">
        <v>349001</v>
      </c>
      <c r="F3057" t="s">
        <v>115</v>
      </c>
      <c r="G3057" t="s">
        <v>71</v>
      </c>
      <c r="H3057">
        <v>57094.98</v>
      </c>
      <c r="I3057">
        <v>57094.98</v>
      </c>
      <c r="J3057">
        <v>0</v>
      </c>
      <c r="K3057">
        <v>0</v>
      </c>
      <c r="L3057">
        <v>0</v>
      </c>
    </row>
    <row r="3058" spans="1:12" x14ac:dyDescent="0.25">
      <c r="A3058" t="str">
        <f t="shared" si="47"/>
        <v>1401003490012026M10</v>
      </c>
      <c r="B3058">
        <v>51321001</v>
      </c>
      <c r="C3058">
        <v>34</v>
      </c>
      <c r="D3058">
        <v>140100</v>
      </c>
      <c r="E3058">
        <v>349001</v>
      </c>
      <c r="F3058" t="s">
        <v>115</v>
      </c>
      <c r="G3058" t="s">
        <v>72</v>
      </c>
      <c r="H3058">
        <v>139319.16</v>
      </c>
      <c r="I3058">
        <v>0</v>
      </c>
      <c r="J3058">
        <v>139319.16</v>
      </c>
      <c r="K3058">
        <v>0</v>
      </c>
      <c r="L3058">
        <v>0</v>
      </c>
    </row>
    <row r="3059" spans="1:12" x14ac:dyDescent="0.25">
      <c r="A3059" t="str">
        <f t="shared" si="47"/>
        <v>1401003490012026M11</v>
      </c>
      <c r="B3059">
        <v>51321001</v>
      </c>
      <c r="C3059">
        <v>34</v>
      </c>
      <c r="D3059">
        <v>140100</v>
      </c>
      <c r="E3059">
        <v>349001</v>
      </c>
      <c r="F3059" t="s">
        <v>115</v>
      </c>
      <c r="G3059" t="s">
        <v>73</v>
      </c>
      <c r="H3059">
        <v>66231</v>
      </c>
      <c r="I3059">
        <v>0</v>
      </c>
      <c r="J3059">
        <v>66231</v>
      </c>
      <c r="K3059">
        <v>0</v>
      </c>
      <c r="L3059">
        <v>0</v>
      </c>
    </row>
    <row r="3060" spans="1:12" x14ac:dyDescent="0.25">
      <c r="A3060" t="str">
        <f t="shared" si="47"/>
        <v>1401003490012026M12</v>
      </c>
      <c r="B3060">
        <v>51321001</v>
      </c>
      <c r="C3060">
        <v>34</v>
      </c>
      <c r="D3060">
        <v>140100</v>
      </c>
      <c r="E3060">
        <v>349001</v>
      </c>
      <c r="F3060" t="s">
        <v>115</v>
      </c>
      <c r="G3060" t="s">
        <v>74</v>
      </c>
      <c r="H3060">
        <v>132462</v>
      </c>
      <c r="I3060">
        <v>0</v>
      </c>
      <c r="J3060">
        <v>132462</v>
      </c>
      <c r="K3060">
        <v>0</v>
      </c>
      <c r="L3060">
        <v>0</v>
      </c>
    </row>
    <row r="3061" spans="1:12" x14ac:dyDescent="0.25">
      <c r="A3061" t="str">
        <f t="shared" si="47"/>
        <v>3802003459012026M02</v>
      </c>
      <c r="B3061">
        <v>51321001</v>
      </c>
      <c r="C3061">
        <v>34</v>
      </c>
      <c r="D3061">
        <v>380200</v>
      </c>
      <c r="E3061">
        <v>345901</v>
      </c>
      <c r="F3061" t="s">
        <v>115</v>
      </c>
      <c r="G3061" t="s">
        <v>64</v>
      </c>
      <c r="H3061">
        <v>19393.55</v>
      </c>
      <c r="I3061">
        <v>19393.55</v>
      </c>
      <c r="J3061">
        <v>0</v>
      </c>
      <c r="K3061">
        <v>0</v>
      </c>
      <c r="L3061">
        <v>0</v>
      </c>
    </row>
    <row r="3062" spans="1:12" x14ac:dyDescent="0.25">
      <c r="A3062" t="str">
        <f t="shared" si="47"/>
        <v>3802003459012026M03</v>
      </c>
      <c r="B3062">
        <v>51321001</v>
      </c>
      <c r="C3062">
        <v>34</v>
      </c>
      <c r="D3062">
        <v>380200</v>
      </c>
      <c r="E3062">
        <v>345901</v>
      </c>
      <c r="F3062" t="s">
        <v>115</v>
      </c>
      <c r="G3062" t="s">
        <v>65</v>
      </c>
      <c r="H3062">
        <v>19393.55</v>
      </c>
      <c r="I3062">
        <v>19393.55</v>
      </c>
      <c r="J3062">
        <v>0</v>
      </c>
      <c r="K3062">
        <v>0</v>
      </c>
      <c r="L3062">
        <v>0</v>
      </c>
    </row>
    <row r="3063" spans="1:12" x14ac:dyDescent="0.25">
      <c r="A3063" t="str">
        <f t="shared" si="47"/>
        <v>3802003459012026M04</v>
      </c>
      <c r="B3063">
        <v>51321001</v>
      </c>
      <c r="C3063">
        <v>34</v>
      </c>
      <c r="D3063">
        <v>380200</v>
      </c>
      <c r="E3063">
        <v>345901</v>
      </c>
      <c r="F3063" t="s">
        <v>115</v>
      </c>
      <c r="G3063" t="s">
        <v>66</v>
      </c>
      <c r="H3063">
        <v>19393.55</v>
      </c>
      <c r="I3063">
        <v>19393.55</v>
      </c>
      <c r="J3063">
        <v>0</v>
      </c>
      <c r="K3063">
        <v>0</v>
      </c>
      <c r="L3063">
        <v>0</v>
      </c>
    </row>
    <row r="3064" spans="1:12" x14ac:dyDescent="0.25">
      <c r="A3064" t="str">
        <f t="shared" si="47"/>
        <v>3802003459012026M05</v>
      </c>
      <c r="B3064">
        <v>51321001</v>
      </c>
      <c r="C3064">
        <v>34</v>
      </c>
      <c r="D3064">
        <v>380200</v>
      </c>
      <c r="E3064">
        <v>345901</v>
      </c>
      <c r="F3064" t="s">
        <v>115</v>
      </c>
      <c r="G3064" t="s">
        <v>67</v>
      </c>
      <c r="H3064">
        <v>19393.55</v>
      </c>
      <c r="I3064">
        <v>19393.55</v>
      </c>
      <c r="J3064">
        <v>0</v>
      </c>
      <c r="K3064">
        <v>0</v>
      </c>
      <c r="L3064">
        <v>0</v>
      </c>
    </row>
    <row r="3065" spans="1:12" x14ac:dyDescent="0.25">
      <c r="A3065" t="str">
        <f t="shared" si="47"/>
        <v>3802003459012026M06</v>
      </c>
      <c r="B3065">
        <v>51321001</v>
      </c>
      <c r="C3065">
        <v>34</v>
      </c>
      <c r="D3065">
        <v>380200</v>
      </c>
      <c r="E3065">
        <v>345901</v>
      </c>
      <c r="F3065" t="s">
        <v>115</v>
      </c>
      <c r="G3065" t="s">
        <v>68</v>
      </c>
      <c r="H3065">
        <v>19393.55</v>
      </c>
      <c r="I3065">
        <v>19393.55</v>
      </c>
      <c r="J3065">
        <v>0</v>
      </c>
      <c r="K3065">
        <v>0</v>
      </c>
      <c r="L3065">
        <v>0</v>
      </c>
    </row>
    <row r="3066" spans="1:12" x14ac:dyDescent="0.25">
      <c r="A3066" t="str">
        <f t="shared" si="47"/>
        <v>3802003459012026M07</v>
      </c>
      <c r="B3066">
        <v>51321001</v>
      </c>
      <c r="C3066">
        <v>34</v>
      </c>
      <c r="D3066">
        <v>380200</v>
      </c>
      <c r="E3066">
        <v>345901</v>
      </c>
      <c r="F3066" t="s">
        <v>115</v>
      </c>
      <c r="G3066" t="s">
        <v>69</v>
      </c>
      <c r="H3066">
        <v>19393.55</v>
      </c>
      <c r="I3066">
        <v>19393.55</v>
      </c>
      <c r="J3066">
        <v>0</v>
      </c>
      <c r="K3066">
        <v>0</v>
      </c>
      <c r="L3066">
        <v>0</v>
      </c>
    </row>
    <row r="3067" spans="1:12" x14ac:dyDescent="0.25">
      <c r="A3067" t="str">
        <f t="shared" si="47"/>
        <v>3802003459012026M08</v>
      </c>
      <c r="B3067">
        <v>51321001</v>
      </c>
      <c r="C3067">
        <v>34</v>
      </c>
      <c r="D3067">
        <v>380200</v>
      </c>
      <c r="E3067">
        <v>345901</v>
      </c>
      <c r="F3067" t="s">
        <v>115</v>
      </c>
      <c r="G3067" t="s">
        <v>70</v>
      </c>
      <c r="H3067">
        <v>19393.55</v>
      </c>
      <c r="I3067">
        <v>19393.55</v>
      </c>
      <c r="J3067">
        <v>0</v>
      </c>
      <c r="K3067">
        <v>0</v>
      </c>
      <c r="L3067">
        <v>0</v>
      </c>
    </row>
    <row r="3068" spans="1:12" x14ac:dyDescent="0.25">
      <c r="A3068" t="str">
        <f t="shared" si="47"/>
        <v>3802003459012026M09</v>
      </c>
      <c r="B3068">
        <v>51321001</v>
      </c>
      <c r="C3068">
        <v>34</v>
      </c>
      <c r="D3068">
        <v>380200</v>
      </c>
      <c r="E3068">
        <v>345901</v>
      </c>
      <c r="F3068" t="s">
        <v>115</v>
      </c>
      <c r="G3068" t="s">
        <v>71</v>
      </c>
      <c r="H3068">
        <v>19393.55</v>
      </c>
      <c r="I3068">
        <v>19393.55</v>
      </c>
      <c r="J3068">
        <v>0</v>
      </c>
      <c r="K3068">
        <v>0</v>
      </c>
      <c r="L3068">
        <v>0</v>
      </c>
    </row>
    <row r="3069" spans="1:12" x14ac:dyDescent="0.25">
      <c r="A3069" t="str">
        <f t="shared" si="47"/>
        <v>3802003459012026M10</v>
      </c>
      <c r="B3069">
        <v>51321001</v>
      </c>
      <c r="C3069">
        <v>34</v>
      </c>
      <c r="D3069">
        <v>380200</v>
      </c>
      <c r="E3069">
        <v>345901</v>
      </c>
      <c r="F3069" t="s">
        <v>115</v>
      </c>
      <c r="G3069" t="s">
        <v>72</v>
      </c>
      <c r="H3069">
        <v>19397.599999999999</v>
      </c>
      <c r="I3069">
        <v>19393.55</v>
      </c>
      <c r="J3069">
        <v>4.05</v>
      </c>
      <c r="K3069">
        <v>0</v>
      </c>
      <c r="L3069">
        <v>0</v>
      </c>
    </row>
    <row r="3070" spans="1:12" x14ac:dyDescent="0.25">
      <c r="A3070" t="str">
        <f t="shared" si="47"/>
        <v>3802003459012026M11</v>
      </c>
      <c r="B3070">
        <v>51321001</v>
      </c>
      <c r="C3070">
        <v>34</v>
      </c>
      <c r="D3070">
        <v>380200</v>
      </c>
      <c r="E3070">
        <v>345901</v>
      </c>
      <c r="F3070" t="s">
        <v>115</v>
      </c>
      <c r="G3070" t="s">
        <v>73</v>
      </c>
      <c r="H3070">
        <v>19394</v>
      </c>
      <c r="I3070">
        <v>0</v>
      </c>
      <c r="J3070">
        <v>19394</v>
      </c>
      <c r="K3070">
        <v>0</v>
      </c>
      <c r="L3070">
        <v>0</v>
      </c>
    </row>
    <row r="3071" spans="1:12" x14ac:dyDescent="0.25">
      <c r="A3071" t="str">
        <f t="shared" si="47"/>
        <v>3802003459012026M12</v>
      </c>
      <c r="B3071">
        <v>51321001</v>
      </c>
      <c r="C3071">
        <v>34</v>
      </c>
      <c r="D3071">
        <v>380200</v>
      </c>
      <c r="E3071">
        <v>345901</v>
      </c>
      <c r="F3071" t="s">
        <v>115</v>
      </c>
      <c r="G3071" t="s">
        <v>74</v>
      </c>
      <c r="H3071">
        <v>38788</v>
      </c>
      <c r="I3071">
        <v>0</v>
      </c>
      <c r="J3071">
        <v>38788</v>
      </c>
      <c r="K3071">
        <v>0</v>
      </c>
      <c r="L3071">
        <v>0</v>
      </c>
    </row>
    <row r="3072" spans="1:12" x14ac:dyDescent="0.25">
      <c r="A3072" t="str">
        <f t="shared" si="47"/>
        <v>3802003459042026M02</v>
      </c>
      <c r="B3072">
        <v>51321001</v>
      </c>
      <c r="C3072">
        <v>34</v>
      </c>
      <c r="D3072">
        <v>380200</v>
      </c>
      <c r="E3072">
        <v>345904</v>
      </c>
      <c r="F3072" t="s">
        <v>115</v>
      </c>
      <c r="G3072" t="s">
        <v>64</v>
      </c>
      <c r="H3072">
        <v>0</v>
      </c>
      <c r="I3072">
        <v>0</v>
      </c>
      <c r="J3072">
        <v>0</v>
      </c>
      <c r="K3072">
        <v>0</v>
      </c>
      <c r="L3072">
        <v>0</v>
      </c>
    </row>
    <row r="3073" spans="1:12" x14ac:dyDescent="0.25">
      <c r="A3073" t="str">
        <f t="shared" si="47"/>
        <v>3802003459042026M03</v>
      </c>
      <c r="B3073">
        <v>51321001</v>
      </c>
      <c r="C3073">
        <v>34</v>
      </c>
      <c r="D3073">
        <v>380200</v>
      </c>
      <c r="E3073">
        <v>345904</v>
      </c>
      <c r="F3073" t="s">
        <v>115</v>
      </c>
      <c r="G3073" t="s">
        <v>65</v>
      </c>
      <c r="H3073">
        <v>0</v>
      </c>
      <c r="I3073">
        <v>0</v>
      </c>
      <c r="J3073">
        <v>0</v>
      </c>
      <c r="K3073">
        <v>0</v>
      </c>
      <c r="L3073">
        <v>0</v>
      </c>
    </row>
    <row r="3074" spans="1:12" x14ac:dyDescent="0.25">
      <c r="A3074" t="str">
        <f t="shared" si="47"/>
        <v>3802003459042026M04</v>
      </c>
      <c r="B3074">
        <v>51321001</v>
      </c>
      <c r="C3074">
        <v>34</v>
      </c>
      <c r="D3074">
        <v>380200</v>
      </c>
      <c r="E3074">
        <v>345904</v>
      </c>
      <c r="F3074" t="s">
        <v>115</v>
      </c>
      <c r="G3074" t="s">
        <v>66</v>
      </c>
      <c r="H3074">
        <v>42760.85</v>
      </c>
      <c r="I3074">
        <v>42760.85</v>
      </c>
      <c r="J3074">
        <v>0</v>
      </c>
      <c r="K3074">
        <v>0</v>
      </c>
      <c r="L3074">
        <v>0</v>
      </c>
    </row>
    <row r="3075" spans="1:12" x14ac:dyDescent="0.25">
      <c r="A3075" t="str">
        <f t="shared" si="47"/>
        <v>3802003459042026M05</v>
      </c>
      <c r="B3075">
        <v>51321001</v>
      </c>
      <c r="C3075">
        <v>34</v>
      </c>
      <c r="D3075">
        <v>380200</v>
      </c>
      <c r="E3075">
        <v>345904</v>
      </c>
      <c r="F3075" t="s">
        <v>115</v>
      </c>
      <c r="G3075" t="s">
        <v>67</v>
      </c>
      <c r="H3075">
        <v>14253.62</v>
      </c>
      <c r="I3075">
        <v>14253.62</v>
      </c>
      <c r="J3075">
        <v>0</v>
      </c>
      <c r="K3075">
        <v>0</v>
      </c>
      <c r="L3075">
        <v>0</v>
      </c>
    </row>
    <row r="3076" spans="1:12" x14ac:dyDescent="0.25">
      <c r="A3076" t="str">
        <f t="shared" si="47"/>
        <v>3802003459042026M06</v>
      </c>
      <c r="B3076">
        <v>51321001</v>
      </c>
      <c r="C3076">
        <v>34</v>
      </c>
      <c r="D3076">
        <v>380200</v>
      </c>
      <c r="E3076">
        <v>345904</v>
      </c>
      <c r="F3076" t="s">
        <v>115</v>
      </c>
      <c r="G3076" t="s">
        <v>68</v>
      </c>
      <c r="H3076">
        <v>14253.62</v>
      </c>
      <c r="I3076">
        <v>14253.62</v>
      </c>
      <c r="J3076">
        <v>0</v>
      </c>
      <c r="K3076">
        <v>0</v>
      </c>
      <c r="L3076">
        <v>0</v>
      </c>
    </row>
    <row r="3077" spans="1:12" x14ac:dyDescent="0.25">
      <c r="A3077" t="str">
        <f t="shared" si="47"/>
        <v>3802003459042026M07</v>
      </c>
      <c r="B3077">
        <v>51321001</v>
      </c>
      <c r="C3077">
        <v>34</v>
      </c>
      <c r="D3077">
        <v>380200</v>
      </c>
      <c r="E3077">
        <v>345904</v>
      </c>
      <c r="F3077" t="s">
        <v>115</v>
      </c>
      <c r="G3077" t="s">
        <v>69</v>
      </c>
      <c r="H3077">
        <v>14253.63</v>
      </c>
      <c r="I3077">
        <v>14253.63</v>
      </c>
      <c r="J3077">
        <v>0</v>
      </c>
      <c r="K3077">
        <v>0</v>
      </c>
      <c r="L3077">
        <v>0</v>
      </c>
    </row>
    <row r="3078" spans="1:12" x14ac:dyDescent="0.25">
      <c r="A3078" t="str">
        <f t="shared" si="47"/>
        <v>3802003459042026M08</v>
      </c>
      <c r="B3078">
        <v>51321001</v>
      </c>
      <c r="C3078">
        <v>34</v>
      </c>
      <c r="D3078">
        <v>380200</v>
      </c>
      <c r="E3078">
        <v>345904</v>
      </c>
      <c r="F3078" t="s">
        <v>115</v>
      </c>
      <c r="G3078" t="s">
        <v>70</v>
      </c>
      <c r="H3078">
        <v>14253.62</v>
      </c>
      <c r="I3078">
        <v>14253.62</v>
      </c>
      <c r="J3078">
        <v>0</v>
      </c>
      <c r="K3078">
        <v>0</v>
      </c>
      <c r="L3078">
        <v>0</v>
      </c>
    </row>
    <row r="3079" spans="1:12" x14ac:dyDescent="0.25">
      <c r="A3079" t="str">
        <f t="shared" si="47"/>
        <v>3802003459042026M09</v>
      </c>
      <c r="B3079">
        <v>51321001</v>
      </c>
      <c r="C3079">
        <v>34</v>
      </c>
      <c r="D3079">
        <v>380200</v>
      </c>
      <c r="E3079">
        <v>345904</v>
      </c>
      <c r="F3079" t="s">
        <v>115</v>
      </c>
      <c r="G3079" t="s">
        <v>71</v>
      </c>
      <c r="H3079">
        <v>14253.62</v>
      </c>
      <c r="I3079">
        <v>14253.62</v>
      </c>
      <c r="J3079">
        <v>0</v>
      </c>
      <c r="K3079">
        <v>0</v>
      </c>
      <c r="L3079">
        <v>0</v>
      </c>
    </row>
    <row r="3080" spans="1:12" x14ac:dyDescent="0.25">
      <c r="A3080" t="str">
        <f t="shared" si="47"/>
        <v>3802003459042026M10</v>
      </c>
      <c r="B3080">
        <v>51321001</v>
      </c>
      <c r="C3080">
        <v>34</v>
      </c>
      <c r="D3080">
        <v>380200</v>
      </c>
      <c r="E3080">
        <v>345904</v>
      </c>
      <c r="F3080" t="s">
        <v>115</v>
      </c>
      <c r="G3080" t="s">
        <v>72</v>
      </c>
      <c r="H3080">
        <v>14257.04</v>
      </c>
      <c r="I3080">
        <v>0</v>
      </c>
      <c r="J3080">
        <v>14257.04</v>
      </c>
      <c r="K3080">
        <v>0</v>
      </c>
      <c r="L3080">
        <v>0</v>
      </c>
    </row>
    <row r="3081" spans="1:12" x14ac:dyDescent="0.25">
      <c r="A3081" t="str">
        <f t="shared" si="47"/>
        <v>3802003459042026M11</v>
      </c>
      <c r="B3081">
        <v>51321001</v>
      </c>
      <c r="C3081">
        <v>34</v>
      </c>
      <c r="D3081">
        <v>380200</v>
      </c>
      <c r="E3081">
        <v>345904</v>
      </c>
      <c r="F3081" t="s">
        <v>115</v>
      </c>
      <c r="G3081" t="s">
        <v>73</v>
      </c>
      <c r="H3081">
        <v>14254</v>
      </c>
      <c r="I3081">
        <v>0</v>
      </c>
      <c r="J3081">
        <v>14254</v>
      </c>
      <c r="K3081">
        <v>0</v>
      </c>
      <c r="L3081">
        <v>0</v>
      </c>
    </row>
    <row r="3082" spans="1:12" x14ac:dyDescent="0.25">
      <c r="A3082" t="str">
        <f t="shared" si="47"/>
        <v>3802003459042026M12</v>
      </c>
      <c r="B3082">
        <v>51321001</v>
      </c>
      <c r="C3082">
        <v>34</v>
      </c>
      <c r="D3082">
        <v>380200</v>
      </c>
      <c r="E3082">
        <v>345904</v>
      </c>
      <c r="F3082" t="s">
        <v>115</v>
      </c>
      <c r="G3082" t="s">
        <v>74</v>
      </c>
      <c r="H3082">
        <v>28508</v>
      </c>
      <c r="I3082">
        <v>0</v>
      </c>
      <c r="J3082">
        <v>28508</v>
      </c>
      <c r="K3082">
        <v>0</v>
      </c>
      <c r="L3082">
        <v>0</v>
      </c>
    </row>
    <row r="3083" spans="1:12" x14ac:dyDescent="0.25">
      <c r="A3083" t="str">
        <f t="shared" ref="A3083:A3146" si="48">D3083&amp;E3083&amp;G3083</f>
        <v>3802003459062026M02</v>
      </c>
      <c r="B3083">
        <v>51321001</v>
      </c>
      <c r="C3083">
        <v>34</v>
      </c>
      <c r="D3083">
        <v>380200</v>
      </c>
      <c r="E3083">
        <v>345906</v>
      </c>
      <c r="F3083" t="s">
        <v>115</v>
      </c>
      <c r="G3083" t="s">
        <v>64</v>
      </c>
      <c r="H3083">
        <v>0</v>
      </c>
      <c r="I3083">
        <v>0</v>
      </c>
      <c r="J3083">
        <v>0</v>
      </c>
      <c r="K3083">
        <v>0</v>
      </c>
      <c r="L3083">
        <v>0</v>
      </c>
    </row>
    <row r="3084" spans="1:12" x14ac:dyDescent="0.25">
      <c r="A3084" t="str">
        <f t="shared" si="48"/>
        <v>3802003459062026M03</v>
      </c>
      <c r="B3084">
        <v>51321001</v>
      </c>
      <c r="C3084">
        <v>34</v>
      </c>
      <c r="D3084">
        <v>380200</v>
      </c>
      <c r="E3084">
        <v>345906</v>
      </c>
      <c r="F3084" t="s">
        <v>115</v>
      </c>
      <c r="G3084" t="s">
        <v>65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x14ac:dyDescent="0.25">
      <c r="A3085" t="str">
        <f t="shared" si="48"/>
        <v>3802003459062026M04</v>
      </c>
      <c r="B3085">
        <v>51321001</v>
      </c>
      <c r="C3085">
        <v>34</v>
      </c>
      <c r="D3085">
        <v>380200</v>
      </c>
      <c r="E3085">
        <v>345906</v>
      </c>
      <c r="F3085" t="s">
        <v>115</v>
      </c>
      <c r="G3085" t="s">
        <v>66</v>
      </c>
      <c r="H3085">
        <v>54746.14</v>
      </c>
      <c r="I3085">
        <v>54746.14</v>
      </c>
      <c r="J3085">
        <v>0</v>
      </c>
      <c r="K3085">
        <v>0</v>
      </c>
      <c r="L3085">
        <v>0</v>
      </c>
    </row>
    <row r="3086" spans="1:12" x14ac:dyDescent="0.25">
      <c r="A3086" t="str">
        <f t="shared" si="48"/>
        <v>3802003459062026M05</v>
      </c>
      <c r="B3086">
        <v>51321001</v>
      </c>
      <c r="C3086">
        <v>34</v>
      </c>
      <c r="D3086">
        <v>380200</v>
      </c>
      <c r="E3086">
        <v>345906</v>
      </c>
      <c r="F3086" t="s">
        <v>115</v>
      </c>
      <c r="G3086" t="s">
        <v>67</v>
      </c>
      <c r="H3086">
        <v>18248.71</v>
      </c>
      <c r="I3086">
        <v>18248.71</v>
      </c>
      <c r="J3086">
        <v>0</v>
      </c>
      <c r="K3086">
        <v>0</v>
      </c>
      <c r="L3086">
        <v>0</v>
      </c>
    </row>
    <row r="3087" spans="1:12" x14ac:dyDescent="0.25">
      <c r="A3087" t="str">
        <f t="shared" si="48"/>
        <v>3802003459062026M06</v>
      </c>
      <c r="B3087">
        <v>51321001</v>
      </c>
      <c r="C3087">
        <v>34</v>
      </c>
      <c r="D3087">
        <v>380200</v>
      </c>
      <c r="E3087">
        <v>345906</v>
      </c>
      <c r="F3087" t="s">
        <v>115</v>
      </c>
      <c r="G3087" t="s">
        <v>68</v>
      </c>
      <c r="H3087">
        <v>18248.71</v>
      </c>
      <c r="I3087">
        <v>18248.71</v>
      </c>
      <c r="J3087">
        <v>0</v>
      </c>
      <c r="K3087">
        <v>0</v>
      </c>
      <c r="L3087">
        <v>0</v>
      </c>
    </row>
    <row r="3088" spans="1:12" x14ac:dyDescent="0.25">
      <c r="A3088" t="str">
        <f t="shared" si="48"/>
        <v>3802003459062026M07</v>
      </c>
      <c r="B3088">
        <v>51321001</v>
      </c>
      <c r="C3088">
        <v>34</v>
      </c>
      <c r="D3088">
        <v>380200</v>
      </c>
      <c r="E3088">
        <v>345906</v>
      </c>
      <c r="F3088" t="s">
        <v>115</v>
      </c>
      <c r="G3088" t="s">
        <v>69</v>
      </c>
      <c r="H3088">
        <v>18248.71</v>
      </c>
      <c r="I3088">
        <v>18248.71</v>
      </c>
      <c r="J3088">
        <v>0</v>
      </c>
      <c r="K3088">
        <v>0</v>
      </c>
      <c r="L3088">
        <v>0</v>
      </c>
    </row>
    <row r="3089" spans="1:12" x14ac:dyDescent="0.25">
      <c r="A3089" t="str">
        <f t="shared" si="48"/>
        <v>3802003459062026M08</v>
      </c>
      <c r="B3089">
        <v>51321001</v>
      </c>
      <c r="C3089">
        <v>34</v>
      </c>
      <c r="D3089">
        <v>380200</v>
      </c>
      <c r="E3089">
        <v>345906</v>
      </c>
      <c r="F3089" t="s">
        <v>115</v>
      </c>
      <c r="G3089" t="s">
        <v>70</v>
      </c>
      <c r="H3089">
        <v>18248.71</v>
      </c>
      <c r="I3089">
        <v>18248.71</v>
      </c>
      <c r="J3089">
        <v>0</v>
      </c>
      <c r="K3089">
        <v>0</v>
      </c>
      <c r="L3089">
        <v>0</v>
      </c>
    </row>
    <row r="3090" spans="1:12" x14ac:dyDescent="0.25">
      <c r="A3090" t="str">
        <f t="shared" si="48"/>
        <v>3802003459062026M09</v>
      </c>
      <c r="B3090">
        <v>51321001</v>
      </c>
      <c r="C3090">
        <v>34</v>
      </c>
      <c r="D3090">
        <v>380200</v>
      </c>
      <c r="E3090">
        <v>345906</v>
      </c>
      <c r="F3090" t="s">
        <v>115</v>
      </c>
      <c r="G3090" t="s">
        <v>71</v>
      </c>
      <c r="H3090">
        <v>18248.71</v>
      </c>
      <c r="I3090">
        <v>18248.71</v>
      </c>
      <c r="J3090">
        <v>0</v>
      </c>
      <c r="K3090">
        <v>0</v>
      </c>
      <c r="L3090">
        <v>0</v>
      </c>
    </row>
    <row r="3091" spans="1:12" x14ac:dyDescent="0.25">
      <c r="A3091" t="str">
        <f t="shared" si="48"/>
        <v>3802003459062026M10</v>
      </c>
      <c r="B3091">
        <v>51321001</v>
      </c>
      <c r="C3091">
        <v>34</v>
      </c>
      <c r="D3091">
        <v>380200</v>
      </c>
      <c r="E3091">
        <v>345906</v>
      </c>
      <c r="F3091" t="s">
        <v>115</v>
      </c>
      <c r="G3091" t="s">
        <v>72</v>
      </c>
      <c r="H3091">
        <v>18260.310000000001</v>
      </c>
      <c r="I3091">
        <v>18248.71</v>
      </c>
      <c r="J3091">
        <v>11.6</v>
      </c>
      <c r="K3091">
        <v>0</v>
      </c>
      <c r="L3091">
        <v>0</v>
      </c>
    </row>
    <row r="3092" spans="1:12" x14ac:dyDescent="0.25">
      <c r="A3092" t="str">
        <f t="shared" si="48"/>
        <v>3802003459062026M11</v>
      </c>
      <c r="B3092">
        <v>51321001</v>
      </c>
      <c r="C3092">
        <v>34</v>
      </c>
      <c r="D3092">
        <v>380200</v>
      </c>
      <c r="E3092">
        <v>345906</v>
      </c>
      <c r="F3092" t="s">
        <v>115</v>
      </c>
      <c r="G3092" t="s">
        <v>73</v>
      </c>
      <c r="H3092">
        <v>18250</v>
      </c>
      <c r="I3092">
        <v>0</v>
      </c>
      <c r="J3092">
        <v>18250</v>
      </c>
      <c r="K3092">
        <v>0</v>
      </c>
      <c r="L3092">
        <v>0</v>
      </c>
    </row>
    <row r="3093" spans="1:12" x14ac:dyDescent="0.25">
      <c r="A3093" t="str">
        <f t="shared" si="48"/>
        <v>3802003459062026M12</v>
      </c>
      <c r="B3093">
        <v>51321001</v>
      </c>
      <c r="C3093">
        <v>34</v>
      </c>
      <c r="D3093">
        <v>380200</v>
      </c>
      <c r="E3093">
        <v>345906</v>
      </c>
      <c r="F3093" t="s">
        <v>115</v>
      </c>
      <c r="G3093" t="s">
        <v>74</v>
      </c>
      <c r="H3093">
        <v>36500</v>
      </c>
      <c r="I3093">
        <v>0</v>
      </c>
      <c r="J3093">
        <v>36500</v>
      </c>
      <c r="K3093">
        <v>0</v>
      </c>
      <c r="L3093">
        <v>0</v>
      </c>
    </row>
    <row r="3094" spans="1:12" x14ac:dyDescent="0.25">
      <c r="A3094" t="str">
        <f t="shared" si="48"/>
        <v>8002013458012026M02</v>
      </c>
      <c r="B3094">
        <v>51321001</v>
      </c>
      <c r="C3094">
        <v>34</v>
      </c>
      <c r="D3094">
        <v>800201</v>
      </c>
      <c r="E3094">
        <v>345801</v>
      </c>
      <c r="F3094" t="s">
        <v>115</v>
      </c>
      <c r="G3094" t="s">
        <v>64</v>
      </c>
      <c r="H3094">
        <v>23478.400000000001</v>
      </c>
      <c r="I3094">
        <v>23478.400000000001</v>
      </c>
      <c r="J3094">
        <v>0</v>
      </c>
      <c r="K3094">
        <v>0</v>
      </c>
      <c r="L3094">
        <v>0</v>
      </c>
    </row>
    <row r="3095" spans="1:12" x14ac:dyDescent="0.25">
      <c r="A3095" t="str">
        <f t="shared" si="48"/>
        <v>8002013458012026M03</v>
      </c>
      <c r="B3095">
        <v>51321001</v>
      </c>
      <c r="C3095">
        <v>34</v>
      </c>
      <c r="D3095">
        <v>800201</v>
      </c>
      <c r="E3095">
        <v>345801</v>
      </c>
      <c r="F3095" t="s">
        <v>115</v>
      </c>
      <c r="G3095" t="s">
        <v>65</v>
      </c>
      <c r="H3095">
        <v>23478.400000000001</v>
      </c>
      <c r="I3095">
        <v>23478.400000000001</v>
      </c>
      <c r="J3095">
        <v>0</v>
      </c>
      <c r="K3095">
        <v>0</v>
      </c>
      <c r="L3095">
        <v>0</v>
      </c>
    </row>
    <row r="3096" spans="1:12" x14ac:dyDescent="0.25">
      <c r="A3096" t="str">
        <f t="shared" si="48"/>
        <v>8002013458012026M04</v>
      </c>
      <c r="B3096">
        <v>51321001</v>
      </c>
      <c r="C3096">
        <v>34</v>
      </c>
      <c r="D3096">
        <v>800201</v>
      </c>
      <c r="E3096">
        <v>345801</v>
      </c>
      <c r="F3096" t="s">
        <v>115</v>
      </c>
      <c r="G3096" t="s">
        <v>66</v>
      </c>
      <c r="H3096">
        <v>23478.400000000001</v>
      </c>
      <c r="I3096">
        <v>23478.400000000001</v>
      </c>
      <c r="J3096">
        <v>0</v>
      </c>
      <c r="K3096">
        <v>0</v>
      </c>
      <c r="L3096">
        <v>0</v>
      </c>
    </row>
    <row r="3097" spans="1:12" x14ac:dyDescent="0.25">
      <c r="A3097" t="str">
        <f t="shared" si="48"/>
        <v>8002013458012026M05</v>
      </c>
      <c r="B3097">
        <v>51321001</v>
      </c>
      <c r="C3097">
        <v>34</v>
      </c>
      <c r="D3097">
        <v>800201</v>
      </c>
      <c r="E3097">
        <v>345801</v>
      </c>
      <c r="F3097" t="s">
        <v>115</v>
      </c>
      <c r="G3097" t="s">
        <v>67</v>
      </c>
      <c r="H3097">
        <v>23478.400000000001</v>
      </c>
      <c r="I3097">
        <v>23478.400000000001</v>
      </c>
      <c r="J3097">
        <v>0</v>
      </c>
      <c r="K3097">
        <v>0</v>
      </c>
      <c r="L3097">
        <v>0</v>
      </c>
    </row>
    <row r="3098" spans="1:12" x14ac:dyDescent="0.25">
      <c r="A3098" t="str">
        <f t="shared" si="48"/>
        <v>8002013458012026M06</v>
      </c>
      <c r="B3098">
        <v>51321001</v>
      </c>
      <c r="C3098">
        <v>34</v>
      </c>
      <c r="D3098">
        <v>800201</v>
      </c>
      <c r="E3098">
        <v>345801</v>
      </c>
      <c r="F3098" t="s">
        <v>115</v>
      </c>
      <c r="G3098" t="s">
        <v>68</v>
      </c>
      <c r="H3098">
        <v>23478.400000000001</v>
      </c>
      <c r="I3098">
        <v>23478.400000000001</v>
      </c>
      <c r="J3098">
        <v>0</v>
      </c>
      <c r="K3098">
        <v>0</v>
      </c>
      <c r="L3098">
        <v>0</v>
      </c>
    </row>
    <row r="3099" spans="1:12" x14ac:dyDescent="0.25">
      <c r="A3099" t="str">
        <f t="shared" si="48"/>
        <v>8002013458012026M07</v>
      </c>
      <c r="B3099">
        <v>51321001</v>
      </c>
      <c r="C3099">
        <v>34</v>
      </c>
      <c r="D3099">
        <v>800201</v>
      </c>
      <c r="E3099">
        <v>345801</v>
      </c>
      <c r="F3099" t="s">
        <v>115</v>
      </c>
      <c r="G3099" t="s">
        <v>69</v>
      </c>
      <c r="H3099">
        <v>23478.400000000001</v>
      </c>
      <c r="I3099">
        <v>23478.400000000001</v>
      </c>
      <c r="J3099">
        <v>0</v>
      </c>
      <c r="K3099">
        <v>0</v>
      </c>
      <c r="L3099">
        <v>0</v>
      </c>
    </row>
    <row r="3100" spans="1:12" x14ac:dyDescent="0.25">
      <c r="A3100" t="str">
        <f t="shared" si="48"/>
        <v>8002013458012026M08</v>
      </c>
      <c r="B3100">
        <v>51321001</v>
      </c>
      <c r="C3100">
        <v>34</v>
      </c>
      <c r="D3100">
        <v>800201</v>
      </c>
      <c r="E3100">
        <v>345801</v>
      </c>
      <c r="F3100" t="s">
        <v>115</v>
      </c>
      <c r="G3100" t="s">
        <v>70</v>
      </c>
      <c r="H3100">
        <v>23478.400000000001</v>
      </c>
      <c r="I3100">
        <v>23478.400000000001</v>
      </c>
      <c r="J3100">
        <v>0</v>
      </c>
      <c r="K3100">
        <v>0</v>
      </c>
      <c r="L3100">
        <v>0</v>
      </c>
    </row>
    <row r="3101" spans="1:12" x14ac:dyDescent="0.25">
      <c r="A3101" t="str">
        <f t="shared" si="48"/>
        <v>8002013458012026M09</v>
      </c>
      <c r="B3101">
        <v>51321001</v>
      </c>
      <c r="C3101">
        <v>34</v>
      </c>
      <c r="D3101">
        <v>800201</v>
      </c>
      <c r="E3101">
        <v>345801</v>
      </c>
      <c r="F3101" t="s">
        <v>115</v>
      </c>
      <c r="G3101" t="s">
        <v>71</v>
      </c>
      <c r="H3101">
        <v>23478.400000000001</v>
      </c>
      <c r="I3101">
        <v>23478.400000000001</v>
      </c>
      <c r="J3101">
        <v>0</v>
      </c>
      <c r="K3101">
        <v>0</v>
      </c>
      <c r="L3101">
        <v>0</v>
      </c>
    </row>
    <row r="3102" spans="1:12" x14ac:dyDescent="0.25">
      <c r="A3102" t="str">
        <f t="shared" si="48"/>
        <v>8002013458012026M10</v>
      </c>
      <c r="B3102">
        <v>51321001</v>
      </c>
      <c r="C3102">
        <v>34</v>
      </c>
      <c r="D3102">
        <v>800201</v>
      </c>
      <c r="E3102">
        <v>345801</v>
      </c>
      <c r="F3102" t="s">
        <v>115</v>
      </c>
      <c r="G3102" t="s">
        <v>72</v>
      </c>
      <c r="H3102">
        <v>23483.8</v>
      </c>
      <c r="I3102">
        <v>23478.400000000001</v>
      </c>
      <c r="J3102">
        <v>5.4</v>
      </c>
      <c r="K3102">
        <v>0</v>
      </c>
      <c r="L3102">
        <v>0</v>
      </c>
    </row>
    <row r="3103" spans="1:12" x14ac:dyDescent="0.25">
      <c r="A3103" t="str">
        <f t="shared" si="48"/>
        <v>8002013458012026M11</v>
      </c>
      <c r="B3103">
        <v>51321001</v>
      </c>
      <c r="C3103">
        <v>34</v>
      </c>
      <c r="D3103">
        <v>800201</v>
      </c>
      <c r="E3103">
        <v>345801</v>
      </c>
      <c r="F3103" t="s">
        <v>115</v>
      </c>
      <c r="G3103" t="s">
        <v>73</v>
      </c>
      <c r="H3103">
        <v>23479</v>
      </c>
      <c r="I3103">
        <v>0</v>
      </c>
      <c r="J3103">
        <v>23479</v>
      </c>
      <c r="K3103">
        <v>0</v>
      </c>
      <c r="L3103">
        <v>0</v>
      </c>
    </row>
    <row r="3104" spans="1:12" x14ac:dyDescent="0.25">
      <c r="A3104" t="str">
        <f t="shared" si="48"/>
        <v>8002013458012026M12</v>
      </c>
      <c r="B3104">
        <v>51321001</v>
      </c>
      <c r="C3104">
        <v>34</v>
      </c>
      <c r="D3104">
        <v>800201</v>
      </c>
      <c r="E3104">
        <v>345801</v>
      </c>
      <c r="F3104" t="s">
        <v>115</v>
      </c>
      <c r="G3104" t="s">
        <v>74</v>
      </c>
      <c r="H3104">
        <v>46958</v>
      </c>
      <c r="I3104">
        <v>0</v>
      </c>
      <c r="J3104">
        <v>46958</v>
      </c>
      <c r="K3104">
        <v>0</v>
      </c>
      <c r="L3104">
        <v>0</v>
      </c>
    </row>
    <row r="3105" spans="1:12" x14ac:dyDescent="0.25">
      <c r="A3105" t="str">
        <f t="shared" si="48"/>
        <v>9001103491012026M02</v>
      </c>
      <c r="B3105">
        <v>51321001</v>
      </c>
      <c r="C3105">
        <v>34</v>
      </c>
      <c r="D3105">
        <v>900110</v>
      </c>
      <c r="E3105">
        <v>349101</v>
      </c>
      <c r="F3105" t="s">
        <v>115</v>
      </c>
      <c r="G3105" t="s">
        <v>64</v>
      </c>
      <c r="H3105">
        <v>0</v>
      </c>
      <c r="I3105">
        <v>0</v>
      </c>
      <c r="J3105">
        <v>0</v>
      </c>
      <c r="K3105">
        <v>0</v>
      </c>
      <c r="L3105">
        <v>0</v>
      </c>
    </row>
    <row r="3106" spans="1:12" x14ac:dyDescent="0.25">
      <c r="A3106" t="str">
        <f t="shared" si="48"/>
        <v>9001103491012026M03</v>
      </c>
      <c r="B3106">
        <v>51321001</v>
      </c>
      <c r="C3106">
        <v>34</v>
      </c>
      <c r="D3106">
        <v>900110</v>
      </c>
      <c r="E3106">
        <v>349101</v>
      </c>
      <c r="F3106" t="s">
        <v>115</v>
      </c>
      <c r="G3106" t="s">
        <v>65</v>
      </c>
      <c r="H3106">
        <v>0</v>
      </c>
      <c r="I3106">
        <v>0</v>
      </c>
      <c r="J3106">
        <v>0</v>
      </c>
      <c r="K3106">
        <v>0</v>
      </c>
      <c r="L3106">
        <v>0</v>
      </c>
    </row>
    <row r="3107" spans="1:12" x14ac:dyDescent="0.25">
      <c r="A3107" t="str">
        <f t="shared" si="48"/>
        <v>9001103491012026M04</v>
      </c>
      <c r="B3107">
        <v>51321001</v>
      </c>
      <c r="C3107">
        <v>34</v>
      </c>
      <c r="D3107">
        <v>900110</v>
      </c>
      <c r="E3107">
        <v>349101</v>
      </c>
      <c r="F3107" t="s">
        <v>115</v>
      </c>
      <c r="G3107" t="s">
        <v>66</v>
      </c>
      <c r="H3107">
        <v>121799.98</v>
      </c>
      <c r="I3107">
        <v>121799.98</v>
      </c>
      <c r="J3107">
        <v>0</v>
      </c>
      <c r="K3107">
        <v>0</v>
      </c>
      <c r="L3107">
        <v>0</v>
      </c>
    </row>
    <row r="3108" spans="1:12" x14ac:dyDescent="0.25">
      <c r="A3108" t="str">
        <f t="shared" si="48"/>
        <v>9001103491012026M05</v>
      </c>
      <c r="B3108">
        <v>51321001</v>
      </c>
      <c r="C3108">
        <v>34</v>
      </c>
      <c r="D3108">
        <v>900110</v>
      </c>
      <c r="E3108">
        <v>349101</v>
      </c>
      <c r="F3108" t="s">
        <v>115</v>
      </c>
      <c r="G3108" t="s">
        <v>67</v>
      </c>
      <c r="H3108">
        <v>40599.99</v>
      </c>
      <c r="I3108">
        <v>40599.99</v>
      </c>
      <c r="J3108">
        <v>0</v>
      </c>
      <c r="K3108">
        <v>0</v>
      </c>
      <c r="L3108">
        <v>0</v>
      </c>
    </row>
    <row r="3109" spans="1:12" x14ac:dyDescent="0.25">
      <c r="A3109" t="str">
        <f t="shared" si="48"/>
        <v>9001103491012026M06</v>
      </c>
      <c r="B3109">
        <v>51321001</v>
      </c>
      <c r="C3109">
        <v>34</v>
      </c>
      <c r="D3109">
        <v>900110</v>
      </c>
      <c r="E3109">
        <v>349101</v>
      </c>
      <c r="F3109" t="s">
        <v>115</v>
      </c>
      <c r="G3109" t="s">
        <v>68</v>
      </c>
      <c r="H3109">
        <v>40600</v>
      </c>
      <c r="I3109">
        <v>40600</v>
      </c>
      <c r="J3109">
        <v>0</v>
      </c>
      <c r="K3109">
        <v>0</v>
      </c>
      <c r="L3109">
        <v>0</v>
      </c>
    </row>
    <row r="3110" spans="1:12" x14ac:dyDescent="0.25">
      <c r="A3110" t="str">
        <f t="shared" si="48"/>
        <v>9001103491012026M07</v>
      </c>
      <c r="B3110">
        <v>51321001</v>
      </c>
      <c r="C3110">
        <v>34</v>
      </c>
      <c r="D3110">
        <v>900110</v>
      </c>
      <c r="E3110">
        <v>349101</v>
      </c>
      <c r="F3110" t="s">
        <v>115</v>
      </c>
      <c r="G3110" t="s">
        <v>69</v>
      </c>
      <c r="H3110">
        <v>40599.99</v>
      </c>
      <c r="I3110">
        <v>40599.99</v>
      </c>
      <c r="J3110">
        <v>0</v>
      </c>
      <c r="K3110">
        <v>0</v>
      </c>
      <c r="L3110">
        <v>0</v>
      </c>
    </row>
    <row r="3111" spans="1:12" x14ac:dyDescent="0.25">
      <c r="A3111" t="str">
        <f t="shared" si="48"/>
        <v>9001103491012026M08</v>
      </c>
      <c r="B3111">
        <v>51321001</v>
      </c>
      <c r="C3111">
        <v>34</v>
      </c>
      <c r="D3111">
        <v>900110</v>
      </c>
      <c r="E3111">
        <v>349101</v>
      </c>
      <c r="F3111" t="s">
        <v>115</v>
      </c>
      <c r="G3111" t="s">
        <v>70</v>
      </c>
      <c r="H3111">
        <v>40599.99</v>
      </c>
      <c r="I3111">
        <v>40599.99</v>
      </c>
      <c r="J3111">
        <v>0</v>
      </c>
      <c r="K3111">
        <v>0</v>
      </c>
      <c r="L3111">
        <v>0</v>
      </c>
    </row>
    <row r="3112" spans="1:12" x14ac:dyDescent="0.25">
      <c r="A3112" t="str">
        <f t="shared" si="48"/>
        <v>9001103491012026M09</v>
      </c>
      <c r="B3112">
        <v>51321001</v>
      </c>
      <c r="C3112">
        <v>34</v>
      </c>
      <c r="D3112">
        <v>900110</v>
      </c>
      <c r="E3112">
        <v>349101</v>
      </c>
      <c r="F3112" t="s">
        <v>115</v>
      </c>
      <c r="G3112" t="s">
        <v>71</v>
      </c>
      <c r="H3112">
        <v>40599.99</v>
      </c>
      <c r="I3112">
        <v>40599.99</v>
      </c>
      <c r="J3112">
        <v>0</v>
      </c>
      <c r="K3112">
        <v>0</v>
      </c>
      <c r="L3112">
        <v>0</v>
      </c>
    </row>
    <row r="3113" spans="1:12" x14ac:dyDescent="0.25">
      <c r="A3113" t="str">
        <f t="shared" si="48"/>
        <v>9001103491012026M10</v>
      </c>
      <c r="B3113">
        <v>51321001</v>
      </c>
      <c r="C3113">
        <v>34</v>
      </c>
      <c r="D3113">
        <v>900110</v>
      </c>
      <c r="E3113">
        <v>349101</v>
      </c>
      <c r="F3113" t="s">
        <v>115</v>
      </c>
      <c r="G3113" t="s">
        <v>72</v>
      </c>
      <c r="H3113">
        <v>40600.06</v>
      </c>
      <c r="I3113">
        <v>40599.99</v>
      </c>
      <c r="J3113">
        <v>7.0000000000000007E-2</v>
      </c>
      <c r="K3113">
        <v>0</v>
      </c>
      <c r="L3113">
        <v>0</v>
      </c>
    </row>
    <row r="3114" spans="1:12" x14ac:dyDescent="0.25">
      <c r="A3114" t="str">
        <f t="shared" si="48"/>
        <v>9001103491012026M11</v>
      </c>
      <c r="B3114">
        <v>51321001</v>
      </c>
      <c r="C3114">
        <v>34</v>
      </c>
      <c r="D3114">
        <v>900110</v>
      </c>
      <c r="E3114">
        <v>349101</v>
      </c>
      <c r="F3114" t="s">
        <v>115</v>
      </c>
      <c r="G3114" t="s">
        <v>73</v>
      </c>
      <c r="H3114">
        <v>40600</v>
      </c>
      <c r="I3114">
        <v>0</v>
      </c>
      <c r="J3114">
        <v>40600</v>
      </c>
      <c r="K3114">
        <v>0</v>
      </c>
      <c r="L3114">
        <v>0</v>
      </c>
    </row>
    <row r="3115" spans="1:12" x14ac:dyDescent="0.25">
      <c r="A3115" t="str">
        <f t="shared" si="48"/>
        <v>9001103491012026M12</v>
      </c>
      <c r="B3115">
        <v>51321001</v>
      </c>
      <c r="C3115">
        <v>34</v>
      </c>
      <c r="D3115">
        <v>900110</v>
      </c>
      <c r="E3115">
        <v>349101</v>
      </c>
      <c r="F3115" t="s">
        <v>115</v>
      </c>
      <c r="G3115" t="s">
        <v>74</v>
      </c>
      <c r="H3115">
        <v>81200</v>
      </c>
      <c r="I3115">
        <v>0</v>
      </c>
      <c r="J3115">
        <v>81200</v>
      </c>
      <c r="K3115">
        <v>0</v>
      </c>
      <c r="L3115">
        <v>0</v>
      </c>
    </row>
    <row r="3116" spans="1:12" x14ac:dyDescent="0.25">
      <c r="A3116" t="str">
        <f t="shared" si="48"/>
        <v>9001103491022026M02</v>
      </c>
      <c r="B3116">
        <v>51321001</v>
      </c>
      <c r="C3116">
        <v>34</v>
      </c>
      <c r="D3116">
        <v>900110</v>
      </c>
      <c r="E3116">
        <v>349102</v>
      </c>
      <c r="F3116" t="s">
        <v>115</v>
      </c>
      <c r="G3116" t="s">
        <v>64</v>
      </c>
      <c r="H3116">
        <v>0</v>
      </c>
      <c r="I3116">
        <v>0</v>
      </c>
      <c r="J3116">
        <v>0</v>
      </c>
      <c r="K3116">
        <v>0</v>
      </c>
      <c r="L3116">
        <v>0</v>
      </c>
    </row>
    <row r="3117" spans="1:12" x14ac:dyDescent="0.25">
      <c r="A3117" t="str">
        <f t="shared" si="48"/>
        <v>9001103491022026M03</v>
      </c>
      <c r="B3117">
        <v>51321001</v>
      </c>
      <c r="C3117">
        <v>34</v>
      </c>
      <c r="D3117">
        <v>900110</v>
      </c>
      <c r="E3117">
        <v>349102</v>
      </c>
      <c r="F3117" t="s">
        <v>115</v>
      </c>
      <c r="G3117" t="s">
        <v>65</v>
      </c>
      <c r="H3117">
        <v>0</v>
      </c>
      <c r="I3117">
        <v>0</v>
      </c>
      <c r="J3117">
        <v>0</v>
      </c>
      <c r="K3117">
        <v>0</v>
      </c>
      <c r="L3117">
        <v>0</v>
      </c>
    </row>
    <row r="3118" spans="1:12" x14ac:dyDescent="0.25">
      <c r="A3118" t="str">
        <f t="shared" si="48"/>
        <v>9001103491022026M04</v>
      </c>
      <c r="B3118">
        <v>51321001</v>
      </c>
      <c r="C3118">
        <v>34</v>
      </c>
      <c r="D3118">
        <v>900110</v>
      </c>
      <c r="E3118">
        <v>349102</v>
      </c>
      <c r="F3118" t="s">
        <v>115</v>
      </c>
      <c r="G3118" t="s">
        <v>66</v>
      </c>
      <c r="H3118">
        <v>226199.85</v>
      </c>
      <c r="I3118">
        <v>226199.85</v>
      </c>
      <c r="J3118">
        <v>0</v>
      </c>
      <c r="K3118">
        <v>0</v>
      </c>
      <c r="L3118">
        <v>0</v>
      </c>
    </row>
    <row r="3119" spans="1:12" x14ac:dyDescent="0.25">
      <c r="A3119" t="str">
        <f t="shared" si="48"/>
        <v>9001103491022026M05</v>
      </c>
      <c r="B3119">
        <v>51321001</v>
      </c>
      <c r="C3119">
        <v>34</v>
      </c>
      <c r="D3119">
        <v>900110</v>
      </c>
      <c r="E3119">
        <v>349102</v>
      </c>
      <c r="F3119" t="s">
        <v>115</v>
      </c>
      <c r="G3119" t="s">
        <v>67</v>
      </c>
      <c r="H3119">
        <v>75399.95</v>
      </c>
      <c r="I3119">
        <v>75399.95</v>
      </c>
      <c r="J3119">
        <v>0</v>
      </c>
      <c r="K3119">
        <v>0</v>
      </c>
      <c r="L3119">
        <v>0</v>
      </c>
    </row>
    <row r="3120" spans="1:12" x14ac:dyDescent="0.25">
      <c r="A3120" t="str">
        <f t="shared" si="48"/>
        <v>9001103491022026M06</v>
      </c>
      <c r="B3120">
        <v>51321001</v>
      </c>
      <c r="C3120">
        <v>34</v>
      </c>
      <c r="D3120">
        <v>900110</v>
      </c>
      <c r="E3120">
        <v>349102</v>
      </c>
      <c r="F3120" t="s">
        <v>115</v>
      </c>
      <c r="G3120" t="s">
        <v>68</v>
      </c>
      <c r="H3120">
        <v>0</v>
      </c>
      <c r="I3120">
        <v>0</v>
      </c>
      <c r="J3120">
        <v>0</v>
      </c>
      <c r="K3120">
        <v>0</v>
      </c>
      <c r="L3120">
        <v>0</v>
      </c>
    </row>
    <row r="3121" spans="1:12" x14ac:dyDescent="0.25">
      <c r="A3121" t="str">
        <f t="shared" si="48"/>
        <v>9001103491022026M07</v>
      </c>
      <c r="B3121">
        <v>51321001</v>
      </c>
      <c r="C3121">
        <v>34</v>
      </c>
      <c r="D3121">
        <v>900110</v>
      </c>
      <c r="E3121">
        <v>349102</v>
      </c>
      <c r="F3121" t="s">
        <v>115</v>
      </c>
      <c r="G3121" t="s">
        <v>69</v>
      </c>
      <c r="H3121">
        <v>150799.91</v>
      </c>
      <c r="I3121">
        <v>150799.91</v>
      </c>
      <c r="J3121">
        <v>0</v>
      </c>
      <c r="K3121">
        <v>0</v>
      </c>
      <c r="L3121">
        <v>0</v>
      </c>
    </row>
    <row r="3122" spans="1:12" x14ac:dyDescent="0.25">
      <c r="A3122" t="str">
        <f t="shared" si="48"/>
        <v>9001103491022026M08</v>
      </c>
      <c r="B3122">
        <v>51321001</v>
      </c>
      <c r="C3122">
        <v>34</v>
      </c>
      <c r="D3122">
        <v>900110</v>
      </c>
      <c r="E3122">
        <v>349102</v>
      </c>
      <c r="F3122" t="s">
        <v>115</v>
      </c>
      <c r="G3122" t="s">
        <v>70</v>
      </c>
      <c r="H3122">
        <v>0</v>
      </c>
      <c r="I3122">
        <v>0</v>
      </c>
      <c r="J3122">
        <v>0</v>
      </c>
      <c r="K3122">
        <v>0</v>
      </c>
      <c r="L3122">
        <v>0</v>
      </c>
    </row>
    <row r="3123" spans="1:12" x14ac:dyDescent="0.25">
      <c r="A3123" t="str">
        <f t="shared" si="48"/>
        <v>9001103491022026M09</v>
      </c>
      <c r="B3123">
        <v>51321001</v>
      </c>
      <c r="C3123">
        <v>34</v>
      </c>
      <c r="D3123">
        <v>900110</v>
      </c>
      <c r="E3123">
        <v>349102</v>
      </c>
      <c r="F3123" t="s">
        <v>115</v>
      </c>
      <c r="G3123" t="s">
        <v>71</v>
      </c>
      <c r="H3123">
        <v>150799.91</v>
      </c>
      <c r="I3123">
        <v>150799.91</v>
      </c>
      <c r="J3123">
        <v>0</v>
      </c>
      <c r="K3123">
        <v>0</v>
      </c>
      <c r="L3123">
        <v>0</v>
      </c>
    </row>
    <row r="3124" spans="1:12" x14ac:dyDescent="0.25">
      <c r="A3124" t="str">
        <f t="shared" si="48"/>
        <v>9001103491022026M10</v>
      </c>
      <c r="B3124">
        <v>51321001</v>
      </c>
      <c r="C3124">
        <v>34</v>
      </c>
      <c r="D3124">
        <v>900110</v>
      </c>
      <c r="E3124">
        <v>349102</v>
      </c>
      <c r="F3124" t="s">
        <v>115</v>
      </c>
      <c r="G3124" t="s">
        <v>72</v>
      </c>
      <c r="H3124">
        <v>75400.38</v>
      </c>
      <c r="I3124">
        <v>75399.95</v>
      </c>
      <c r="J3124">
        <v>0.43</v>
      </c>
      <c r="K3124">
        <v>0</v>
      </c>
      <c r="L3124">
        <v>0</v>
      </c>
    </row>
    <row r="3125" spans="1:12" x14ac:dyDescent="0.25">
      <c r="A3125" t="str">
        <f t="shared" si="48"/>
        <v>9001103491022026M11</v>
      </c>
      <c r="B3125">
        <v>51321001</v>
      </c>
      <c r="C3125">
        <v>34</v>
      </c>
      <c r="D3125">
        <v>900110</v>
      </c>
      <c r="E3125">
        <v>349102</v>
      </c>
      <c r="F3125" t="s">
        <v>115</v>
      </c>
      <c r="G3125" t="s">
        <v>73</v>
      </c>
      <c r="H3125">
        <v>75400</v>
      </c>
      <c r="I3125">
        <v>0</v>
      </c>
      <c r="J3125">
        <v>75400</v>
      </c>
      <c r="K3125">
        <v>0</v>
      </c>
      <c r="L3125">
        <v>0</v>
      </c>
    </row>
    <row r="3126" spans="1:12" x14ac:dyDescent="0.25">
      <c r="A3126" t="str">
        <f t="shared" si="48"/>
        <v>9001103491022026M12</v>
      </c>
      <c r="B3126">
        <v>51321001</v>
      </c>
      <c r="C3126">
        <v>34</v>
      </c>
      <c r="D3126">
        <v>900110</v>
      </c>
      <c r="E3126">
        <v>349102</v>
      </c>
      <c r="F3126" t="s">
        <v>115</v>
      </c>
      <c r="G3126" t="s">
        <v>74</v>
      </c>
      <c r="H3126">
        <v>150800</v>
      </c>
      <c r="I3126">
        <v>0</v>
      </c>
      <c r="J3126">
        <v>150800</v>
      </c>
      <c r="K3126">
        <v>0</v>
      </c>
      <c r="L3126">
        <v>0</v>
      </c>
    </row>
    <row r="3127" spans="1:12" x14ac:dyDescent="0.25">
      <c r="A3127" t="str">
        <f t="shared" si="48"/>
        <v>3102033653022026M02</v>
      </c>
      <c r="B3127">
        <v>51321001</v>
      </c>
      <c r="C3127">
        <v>36</v>
      </c>
      <c r="D3127">
        <v>310203</v>
      </c>
      <c r="E3127">
        <v>365302</v>
      </c>
      <c r="F3127" t="s">
        <v>115</v>
      </c>
      <c r="G3127" t="s">
        <v>64</v>
      </c>
      <c r="H3127">
        <v>0</v>
      </c>
      <c r="I3127">
        <v>0</v>
      </c>
      <c r="J3127">
        <v>0</v>
      </c>
      <c r="K3127">
        <v>0</v>
      </c>
      <c r="L3127">
        <v>0</v>
      </c>
    </row>
    <row r="3128" spans="1:12" x14ac:dyDescent="0.25">
      <c r="A3128" t="str">
        <f t="shared" si="48"/>
        <v>3102033653022026M03</v>
      </c>
      <c r="B3128">
        <v>51321001</v>
      </c>
      <c r="C3128">
        <v>36</v>
      </c>
      <c r="D3128">
        <v>310203</v>
      </c>
      <c r="E3128">
        <v>365302</v>
      </c>
      <c r="F3128" t="s">
        <v>115</v>
      </c>
      <c r="G3128" t="s">
        <v>65</v>
      </c>
      <c r="H3128">
        <v>375708.36</v>
      </c>
      <c r="I3128">
        <v>375708.36</v>
      </c>
      <c r="J3128">
        <v>0</v>
      </c>
      <c r="K3128">
        <v>0</v>
      </c>
      <c r="L3128">
        <v>0</v>
      </c>
    </row>
    <row r="3129" spans="1:12" x14ac:dyDescent="0.25">
      <c r="A3129" t="str">
        <f t="shared" si="48"/>
        <v>3102033653022026M04</v>
      </c>
      <c r="B3129">
        <v>51321001</v>
      </c>
      <c r="C3129">
        <v>36</v>
      </c>
      <c r="D3129">
        <v>310203</v>
      </c>
      <c r="E3129">
        <v>365302</v>
      </c>
      <c r="F3129" t="s">
        <v>115</v>
      </c>
      <c r="G3129" t="s">
        <v>66</v>
      </c>
      <c r="H3129">
        <v>187854.18</v>
      </c>
      <c r="I3129">
        <v>187854.18</v>
      </c>
      <c r="J3129">
        <v>0</v>
      </c>
      <c r="K3129">
        <v>0</v>
      </c>
      <c r="L3129">
        <v>0</v>
      </c>
    </row>
    <row r="3130" spans="1:12" x14ac:dyDescent="0.25">
      <c r="A3130" t="str">
        <f t="shared" si="48"/>
        <v>3102033653022026M05</v>
      </c>
      <c r="B3130">
        <v>51321001</v>
      </c>
      <c r="C3130">
        <v>36</v>
      </c>
      <c r="D3130">
        <v>310203</v>
      </c>
      <c r="E3130">
        <v>365302</v>
      </c>
      <c r="F3130" t="s">
        <v>115</v>
      </c>
      <c r="G3130" t="s">
        <v>67</v>
      </c>
      <c r="H3130">
        <v>187854.18</v>
      </c>
      <c r="I3130">
        <v>187854.18</v>
      </c>
      <c r="J3130">
        <v>0</v>
      </c>
      <c r="K3130">
        <v>0</v>
      </c>
      <c r="L3130">
        <v>0</v>
      </c>
    </row>
    <row r="3131" spans="1:12" x14ac:dyDescent="0.25">
      <c r="A3131" t="str">
        <f t="shared" si="48"/>
        <v>3102033653022026M06</v>
      </c>
      <c r="B3131">
        <v>51321001</v>
      </c>
      <c r="C3131">
        <v>36</v>
      </c>
      <c r="D3131">
        <v>310203</v>
      </c>
      <c r="E3131">
        <v>365302</v>
      </c>
      <c r="F3131" t="s">
        <v>115</v>
      </c>
      <c r="G3131" t="s">
        <v>68</v>
      </c>
      <c r="H3131">
        <v>187854.18</v>
      </c>
      <c r="I3131">
        <v>187854.18</v>
      </c>
      <c r="J3131">
        <v>0</v>
      </c>
      <c r="K3131">
        <v>0</v>
      </c>
      <c r="L3131">
        <v>0</v>
      </c>
    </row>
    <row r="3132" spans="1:12" x14ac:dyDescent="0.25">
      <c r="A3132" t="str">
        <f t="shared" si="48"/>
        <v>3102033653022026M07</v>
      </c>
      <c r="B3132">
        <v>51321001</v>
      </c>
      <c r="C3132">
        <v>36</v>
      </c>
      <c r="D3132">
        <v>310203</v>
      </c>
      <c r="E3132">
        <v>365302</v>
      </c>
      <c r="F3132" t="s">
        <v>115</v>
      </c>
      <c r="G3132" t="s">
        <v>69</v>
      </c>
      <c r="H3132">
        <v>187854.18</v>
      </c>
      <c r="I3132">
        <v>187854.18</v>
      </c>
      <c r="J3132">
        <v>0</v>
      </c>
      <c r="K3132">
        <v>0</v>
      </c>
      <c r="L3132">
        <v>0</v>
      </c>
    </row>
    <row r="3133" spans="1:12" x14ac:dyDescent="0.25">
      <c r="A3133" t="str">
        <f t="shared" si="48"/>
        <v>3102033653022026M08</v>
      </c>
      <c r="B3133">
        <v>51321001</v>
      </c>
      <c r="C3133">
        <v>36</v>
      </c>
      <c r="D3133">
        <v>310203</v>
      </c>
      <c r="E3133">
        <v>365302</v>
      </c>
      <c r="F3133" t="s">
        <v>115</v>
      </c>
      <c r="G3133" t="s">
        <v>70</v>
      </c>
      <c r="H3133">
        <v>187854.18</v>
      </c>
      <c r="I3133">
        <v>187854.18</v>
      </c>
      <c r="J3133">
        <v>0</v>
      </c>
      <c r="K3133">
        <v>0</v>
      </c>
      <c r="L3133">
        <v>0</v>
      </c>
    </row>
    <row r="3134" spans="1:12" x14ac:dyDescent="0.25">
      <c r="A3134" t="str">
        <f t="shared" si="48"/>
        <v>3102033653022026M09</v>
      </c>
      <c r="B3134">
        <v>51321001</v>
      </c>
      <c r="C3134">
        <v>36</v>
      </c>
      <c r="D3134">
        <v>310203</v>
      </c>
      <c r="E3134">
        <v>365302</v>
      </c>
      <c r="F3134" t="s">
        <v>115</v>
      </c>
      <c r="G3134" t="s">
        <v>71</v>
      </c>
      <c r="H3134">
        <v>187854.18</v>
      </c>
      <c r="I3134">
        <v>187854.18</v>
      </c>
      <c r="J3134">
        <v>0</v>
      </c>
      <c r="K3134">
        <v>0</v>
      </c>
      <c r="L3134">
        <v>0</v>
      </c>
    </row>
    <row r="3135" spans="1:12" x14ac:dyDescent="0.25">
      <c r="A3135" t="str">
        <f t="shared" si="48"/>
        <v>3102033653022026M10</v>
      </c>
      <c r="B3135">
        <v>51321001</v>
      </c>
      <c r="C3135">
        <v>36</v>
      </c>
      <c r="D3135">
        <v>310203</v>
      </c>
      <c r="E3135">
        <v>365302</v>
      </c>
      <c r="F3135" t="s">
        <v>115</v>
      </c>
      <c r="G3135" t="s">
        <v>72</v>
      </c>
      <c r="H3135">
        <v>187861.56</v>
      </c>
      <c r="I3135">
        <v>187854.18</v>
      </c>
      <c r="J3135">
        <v>7.38</v>
      </c>
      <c r="K3135">
        <v>0</v>
      </c>
      <c r="L3135">
        <v>0</v>
      </c>
    </row>
    <row r="3136" spans="1:12" x14ac:dyDescent="0.25">
      <c r="A3136" t="str">
        <f t="shared" si="48"/>
        <v>3102033653022026M11</v>
      </c>
      <c r="B3136">
        <v>51321001</v>
      </c>
      <c r="C3136">
        <v>36</v>
      </c>
      <c r="D3136">
        <v>310203</v>
      </c>
      <c r="E3136">
        <v>365302</v>
      </c>
      <c r="F3136" t="s">
        <v>115</v>
      </c>
      <c r="G3136" t="s">
        <v>73</v>
      </c>
      <c r="H3136">
        <v>187855</v>
      </c>
      <c r="I3136">
        <v>0</v>
      </c>
      <c r="J3136">
        <v>187855</v>
      </c>
      <c r="K3136">
        <v>0</v>
      </c>
      <c r="L3136">
        <v>0</v>
      </c>
    </row>
    <row r="3137" spans="1:12" x14ac:dyDescent="0.25">
      <c r="A3137" t="str">
        <f t="shared" si="48"/>
        <v>3102033653022026M12</v>
      </c>
      <c r="B3137">
        <v>51321001</v>
      </c>
      <c r="C3137">
        <v>36</v>
      </c>
      <c r="D3137">
        <v>310203</v>
      </c>
      <c r="E3137">
        <v>365302</v>
      </c>
      <c r="F3137" t="s">
        <v>115</v>
      </c>
      <c r="G3137" t="s">
        <v>74</v>
      </c>
      <c r="H3137">
        <v>375710</v>
      </c>
      <c r="I3137">
        <v>0</v>
      </c>
      <c r="J3137">
        <v>375700.18</v>
      </c>
      <c r="K3137">
        <v>0</v>
      </c>
      <c r="L3137">
        <v>9.82</v>
      </c>
    </row>
    <row r="3138" spans="1:12" x14ac:dyDescent="0.25">
      <c r="A3138" t="str">
        <f t="shared" si="48"/>
        <v>3102033753012026M02</v>
      </c>
      <c r="B3138">
        <v>51321001</v>
      </c>
      <c r="C3138">
        <v>37</v>
      </c>
      <c r="D3138">
        <v>310203</v>
      </c>
      <c r="E3138">
        <v>375301</v>
      </c>
      <c r="F3138" t="s">
        <v>115</v>
      </c>
      <c r="G3138" t="s">
        <v>64</v>
      </c>
      <c r="H3138">
        <v>106487.95</v>
      </c>
      <c r="I3138">
        <v>106487.95</v>
      </c>
      <c r="J3138">
        <v>0</v>
      </c>
      <c r="K3138">
        <v>0</v>
      </c>
      <c r="L3138">
        <v>0</v>
      </c>
    </row>
    <row r="3139" spans="1:12" x14ac:dyDescent="0.25">
      <c r="A3139" t="str">
        <f t="shared" si="48"/>
        <v>3102033753012026M03</v>
      </c>
      <c r="B3139">
        <v>51321001</v>
      </c>
      <c r="C3139">
        <v>37</v>
      </c>
      <c r="D3139">
        <v>310203</v>
      </c>
      <c r="E3139">
        <v>375301</v>
      </c>
      <c r="F3139" t="s">
        <v>115</v>
      </c>
      <c r="G3139" t="s">
        <v>65</v>
      </c>
      <c r="H3139">
        <v>106487.95</v>
      </c>
      <c r="I3139">
        <v>106487.95</v>
      </c>
      <c r="J3139">
        <v>0</v>
      </c>
      <c r="K3139">
        <v>0</v>
      </c>
      <c r="L3139">
        <v>0</v>
      </c>
    </row>
    <row r="3140" spans="1:12" x14ac:dyDescent="0.25">
      <c r="A3140" t="str">
        <f t="shared" si="48"/>
        <v>3102033753012026M04</v>
      </c>
      <c r="B3140">
        <v>51321001</v>
      </c>
      <c r="C3140">
        <v>37</v>
      </c>
      <c r="D3140">
        <v>310203</v>
      </c>
      <c r="E3140">
        <v>375301</v>
      </c>
      <c r="F3140" t="s">
        <v>115</v>
      </c>
      <c r="G3140" t="s">
        <v>66</v>
      </c>
      <c r="H3140">
        <v>106487.95</v>
      </c>
      <c r="I3140">
        <v>106487.95</v>
      </c>
      <c r="J3140">
        <v>0</v>
      </c>
      <c r="K3140">
        <v>0</v>
      </c>
      <c r="L3140">
        <v>0</v>
      </c>
    </row>
    <row r="3141" spans="1:12" x14ac:dyDescent="0.25">
      <c r="A3141" t="str">
        <f t="shared" si="48"/>
        <v>3102033753012026M05</v>
      </c>
      <c r="B3141">
        <v>51321001</v>
      </c>
      <c r="C3141">
        <v>37</v>
      </c>
      <c r="D3141">
        <v>310203</v>
      </c>
      <c r="E3141">
        <v>375301</v>
      </c>
      <c r="F3141" t="s">
        <v>115</v>
      </c>
      <c r="G3141" t="s">
        <v>67</v>
      </c>
      <c r="H3141">
        <v>0</v>
      </c>
      <c r="I3141">
        <v>0</v>
      </c>
      <c r="J3141">
        <v>0</v>
      </c>
      <c r="K3141">
        <v>0</v>
      </c>
      <c r="L3141">
        <v>0</v>
      </c>
    </row>
    <row r="3142" spans="1:12" x14ac:dyDescent="0.25">
      <c r="A3142" t="str">
        <f t="shared" si="48"/>
        <v>3102033753012026M06</v>
      </c>
      <c r="B3142">
        <v>51321001</v>
      </c>
      <c r="C3142">
        <v>37</v>
      </c>
      <c r="D3142">
        <v>310203</v>
      </c>
      <c r="E3142">
        <v>375301</v>
      </c>
      <c r="F3142" t="s">
        <v>115</v>
      </c>
      <c r="G3142" t="s">
        <v>68</v>
      </c>
      <c r="H3142">
        <v>240023.84</v>
      </c>
      <c r="I3142">
        <v>240023.84</v>
      </c>
      <c r="J3142">
        <v>0</v>
      </c>
      <c r="K3142">
        <v>0</v>
      </c>
      <c r="L3142">
        <v>0</v>
      </c>
    </row>
    <row r="3143" spans="1:12" x14ac:dyDescent="0.25">
      <c r="A3143" t="str">
        <f t="shared" si="48"/>
        <v>3102033753012026M07</v>
      </c>
      <c r="B3143">
        <v>51321001</v>
      </c>
      <c r="C3143">
        <v>37</v>
      </c>
      <c r="D3143">
        <v>310203</v>
      </c>
      <c r="E3143">
        <v>375301</v>
      </c>
      <c r="F3143" t="s">
        <v>115</v>
      </c>
      <c r="G3143" t="s">
        <v>69</v>
      </c>
      <c r="H3143">
        <v>120011.92</v>
      </c>
      <c r="I3143">
        <v>120011.92</v>
      </c>
      <c r="J3143">
        <v>0</v>
      </c>
      <c r="K3143">
        <v>0</v>
      </c>
      <c r="L3143">
        <v>0</v>
      </c>
    </row>
    <row r="3144" spans="1:12" x14ac:dyDescent="0.25">
      <c r="A3144" t="str">
        <f t="shared" si="48"/>
        <v>3102033753012026M08</v>
      </c>
      <c r="B3144">
        <v>51321001</v>
      </c>
      <c r="C3144">
        <v>37</v>
      </c>
      <c r="D3144">
        <v>310203</v>
      </c>
      <c r="E3144">
        <v>375301</v>
      </c>
      <c r="F3144" t="s">
        <v>115</v>
      </c>
      <c r="G3144" t="s">
        <v>70</v>
      </c>
      <c r="H3144">
        <v>120011.92</v>
      </c>
      <c r="I3144">
        <v>120011.92</v>
      </c>
      <c r="J3144">
        <v>0</v>
      </c>
      <c r="K3144">
        <v>0</v>
      </c>
      <c r="L3144">
        <v>0</v>
      </c>
    </row>
    <row r="3145" spans="1:12" x14ac:dyDescent="0.25">
      <c r="A3145" t="str">
        <f t="shared" si="48"/>
        <v>3102033753012026M09</v>
      </c>
      <c r="B3145">
        <v>51321001</v>
      </c>
      <c r="C3145">
        <v>37</v>
      </c>
      <c r="D3145">
        <v>310203</v>
      </c>
      <c r="E3145">
        <v>375301</v>
      </c>
      <c r="F3145" t="s">
        <v>115</v>
      </c>
      <c r="G3145" t="s">
        <v>71</v>
      </c>
      <c r="H3145">
        <v>120011.92</v>
      </c>
      <c r="I3145">
        <v>120011.92</v>
      </c>
      <c r="J3145">
        <v>0</v>
      </c>
      <c r="K3145">
        <v>0</v>
      </c>
      <c r="L3145">
        <v>0</v>
      </c>
    </row>
    <row r="3146" spans="1:12" x14ac:dyDescent="0.25">
      <c r="A3146" t="str">
        <f t="shared" si="48"/>
        <v>3102033753012026M10</v>
      </c>
      <c r="B3146">
        <v>51321001</v>
      </c>
      <c r="C3146">
        <v>37</v>
      </c>
      <c r="D3146">
        <v>310203</v>
      </c>
      <c r="E3146">
        <v>375301</v>
      </c>
      <c r="F3146" t="s">
        <v>115</v>
      </c>
      <c r="G3146" t="s">
        <v>72</v>
      </c>
      <c r="H3146">
        <v>120012.55</v>
      </c>
      <c r="I3146">
        <v>120011.92</v>
      </c>
      <c r="J3146">
        <v>0.63</v>
      </c>
      <c r="K3146">
        <v>0</v>
      </c>
      <c r="L3146">
        <v>0</v>
      </c>
    </row>
    <row r="3147" spans="1:12" x14ac:dyDescent="0.25">
      <c r="A3147" t="str">
        <f t="shared" ref="A3147:A3162" si="49">D3147&amp;E3147&amp;G3147</f>
        <v>3102033753012026M11</v>
      </c>
      <c r="B3147">
        <v>51321001</v>
      </c>
      <c r="C3147">
        <v>37</v>
      </c>
      <c r="D3147">
        <v>310203</v>
      </c>
      <c r="E3147">
        <v>375301</v>
      </c>
      <c r="F3147" t="s">
        <v>115</v>
      </c>
      <c r="G3147" t="s">
        <v>73</v>
      </c>
      <c r="H3147">
        <v>120012</v>
      </c>
      <c r="I3147">
        <v>0</v>
      </c>
      <c r="J3147">
        <v>120012</v>
      </c>
      <c r="K3147">
        <v>0</v>
      </c>
      <c r="L3147">
        <v>0</v>
      </c>
    </row>
    <row r="3148" spans="1:12" x14ac:dyDescent="0.25">
      <c r="A3148" t="str">
        <f t="shared" si="49"/>
        <v>3102033753012026M12</v>
      </c>
      <c r="B3148">
        <v>51321001</v>
      </c>
      <c r="C3148">
        <v>37</v>
      </c>
      <c r="D3148">
        <v>310203</v>
      </c>
      <c r="E3148">
        <v>375301</v>
      </c>
      <c r="F3148" t="s">
        <v>115</v>
      </c>
      <c r="G3148" t="s">
        <v>74</v>
      </c>
      <c r="H3148">
        <v>240024</v>
      </c>
      <c r="I3148">
        <v>0</v>
      </c>
      <c r="J3148">
        <v>240024</v>
      </c>
      <c r="K3148">
        <v>0</v>
      </c>
      <c r="L3148">
        <v>0</v>
      </c>
    </row>
    <row r="3149" spans="1:12" x14ac:dyDescent="0.25">
      <c r="A3149" t="str">
        <f t="shared" si="49"/>
        <v>9001103791032026M02</v>
      </c>
      <c r="B3149">
        <v>51321001</v>
      </c>
      <c r="C3149">
        <v>37</v>
      </c>
      <c r="D3149">
        <v>900110</v>
      </c>
      <c r="E3149">
        <v>379103</v>
      </c>
      <c r="F3149" t="s">
        <v>115</v>
      </c>
      <c r="G3149" t="s">
        <v>64</v>
      </c>
      <c r="H3149">
        <v>1400148.39</v>
      </c>
      <c r="I3149">
        <v>1400148.39</v>
      </c>
      <c r="J3149">
        <v>0</v>
      </c>
      <c r="K3149">
        <v>0</v>
      </c>
      <c r="L3149">
        <v>0</v>
      </c>
    </row>
    <row r="3150" spans="1:12" x14ac:dyDescent="0.25">
      <c r="A3150" t="str">
        <f t="shared" si="49"/>
        <v>9001103791032026M03</v>
      </c>
      <c r="B3150">
        <v>51321001</v>
      </c>
      <c r="C3150">
        <v>37</v>
      </c>
      <c r="D3150">
        <v>900110</v>
      </c>
      <c r="E3150">
        <v>379103</v>
      </c>
      <c r="F3150" t="s">
        <v>115</v>
      </c>
      <c r="G3150" t="s">
        <v>65</v>
      </c>
      <c r="H3150">
        <v>1400148.39</v>
      </c>
      <c r="I3150">
        <v>1400148.39</v>
      </c>
      <c r="J3150">
        <v>0</v>
      </c>
      <c r="K3150">
        <v>0</v>
      </c>
      <c r="L3150">
        <v>0</v>
      </c>
    </row>
    <row r="3151" spans="1:12" x14ac:dyDescent="0.25">
      <c r="A3151" t="str">
        <f t="shared" si="49"/>
        <v>9001103791032026M04</v>
      </c>
      <c r="B3151">
        <v>51321001</v>
      </c>
      <c r="C3151">
        <v>37</v>
      </c>
      <c r="D3151">
        <v>900110</v>
      </c>
      <c r="E3151">
        <v>379103</v>
      </c>
      <c r="F3151" t="s">
        <v>115</v>
      </c>
      <c r="G3151" t="s">
        <v>66</v>
      </c>
      <c r="H3151">
        <v>1400148.39</v>
      </c>
      <c r="I3151">
        <v>1400148.39</v>
      </c>
      <c r="J3151">
        <v>0</v>
      </c>
      <c r="K3151">
        <v>0</v>
      </c>
      <c r="L3151">
        <v>0</v>
      </c>
    </row>
    <row r="3152" spans="1:12" x14ac:dyDescent="0.25">
      <c r="A3152" t="str">
        <f t="shared" si="49"/>
        <v>9001103791032026M05</v>
      </c>
      <c r="B3152">
        <v>51321001</v>
      </c>
      <c r="C3152">
        <v>37</v>
      </c>
      <c r="D3152">
        <v>900110</v>
      </c>
      <c r="E3152">
        <v>379103</v>
      </c>
      <c r="F3152" t="s">
        <v>115</v>
      </c>
      <c r="G3152" t="s">
        <v>67</v>
      </c>
      <c r="H3152">
        <v>1400148.39</v>
      </c>
      <c r="I3152">
        <v>1400148.39</v>
      </c>
      <c r="J3152">
        <v>0</v>
      </c>
      <c r="K3152">
        <v>0</v>
      </c>
      <c r="L3152">
        <v>0</v>
      </c>
    </row>
    <row r="3153" spans="1:12" x14ac:dyDescent="0.25">
      <c r="A3153" t="str">
        <f t="shared" si="49"/>
        <v>9001103791032026M06</v>
      </c>
      <c r="B3153">
        <v>51321001</v>
      </c>
      <c r="C3153">
        <v>37</v>
      </c>
      <c r="D3153">
        <v>900110</v>
      </c>
      <c r="E3153">
        <v>379103</v>
      </c>
      <c r="F3153" t="s">
        <v>115</v>
      </c>
      <c r="G3153" t="s">
        <v>68</v>
      </c>
      <c r="H3153">
        <v>1400148.39</v>
      </c>
      <c r="I3153">
        <v>1400148.39</v>
      </c>
      <c r="J3153">
        <v>0</v>
      </c>
      <c r="K3153">
        <v>0</v>
      </c>
      <c r="L3153">
        <v>0</v>
      </c>
    </row>
    <row r="3154" spans="1:12" x14ac:dyDescent="0.25">
      <c r="A3154" t="str">
        <f t="shared" si="49"/>
        <v>9001103791032026M07</v>
      </c>
      <c r="B3154">
        <v>51321001</v>
      </c>
      <c r="C3154">
        <v>37</v>
      </c>
      <c r="D3154">
        <v>900110</v>
      </c>
      <c r="E3154">
        <v>379103</v>
      </c>
      <c r="F3154" t="s">
        <v>115</v>
      </c>
      <c r="G3154" t="s">
        <v>69</v>
      </c>
      <c r="H3154">
        <v>1400148.39</v>
      </c>
      <c r="I3154">
        <v>1400148.39</v>
      </c>
      <c r="J3154">
        <v>0</v>
      </c>
      <c r="K3154">
        <v>0</v>
      </c>
      <c r="L3154">
        <v>0</v>
      </c>
    </row>
    <row r="3155" spans="1:12" x14ac:dyDescent="0.25">
      <c r="A3155" t="str">
        <f t="shared" si="49"/>
        <v>9001103791032026M08</v>
      </c>
      <c r="B3155">
        <v>51321001</v>
      </c>
      <c r="C3155">
        <v>37</v>
      </c>
      <c r="D3155">
        <v>900110</v>
      </c>
      <c r="E3155">
        <v>379103</v>
      </c>
      <c r="F3155" t="s">
        <v>115</v>
      </c>
      <c r="G3155" t="s">
        <v>70</v>
      </c>
      <c r="H3155">
        <v>1400148.39</v>
      </c>
      <c r="I3155">
        <v>1400148.39</v>
      </c>
      <c r="J3155">
        <v>0</v>
      </c>
      <c r="K3155">
        <v>0</v>
      </c>
      <c r="L3155">
        <v>0</v>
      </c>
    </row>
    <row r="3156" spans="1:12" x14ac:dyDescent="0.25">
      <c r="A3156" t="str">
        <f t="shared" si="49"/>
        <v>9001103791032026M09</v>
      </c>
      <c r="B3156">
        <v>51321001</v>
      </c>
      <c r="C3156">
        <v>37</v>
      </c>
      <c r="D3156">
        <v>900110</v>
      </c>
      <c r="E3156">
        <v>379103</v>
      </c>
      <c r="F3156" t="s">
        <v>115</v>
      </c>
      <c r="G3156" t="s">
        <v>71</v>
      </c>
      <c r="H3156">
        <v>1400148.39</v>
      </c>
      <c r="I3156">
        <v>1400148.39</v>
      </c>
      <c r="J3156">
        <v>0</v>
      </c>
      <c r="K3156">
        <v>0</v>
      </c>
      <c r="L3156">
        <v>0</v>
      </c>
    </row>
    <row r="3157" spans="1:12" x14ac:dyDescent="0.25">
      <c r="A3157" t="str">
        <f t="shared" si="49"/>
        <v>9001103791032026M10</v>
      </c>
      <c r="B3157">
        <v>51321001</v>
      </c>
      <c r="C3157">
        <v>37</v>
      </c>
      <c r="D3157">
        <v>900110</v>
      </c>
      <c r="E3157">
        <v>379103</v>
      </c>
      <c r="F3157" t="s">
        <v>115</v>
      </c>
      <c r="G3157" t="s">
        <v>72</v>
      </c>
      <c r="H3157">
        <v>1400153.88</v>
      </c>
      <c r="I3157">
        <v>1400148.39</v>
      </c>
      <c r="J3157">
        <v>0</v>
      </c>
      <c r="K3157">
        <v>0</v>
      </c>
      <c r="L3157">
        <v>5.49</v>
      </c>
    </row>
    <row r="3158" spans="1:12" x14ac:dyDescent="0.25">
      <c r="A3158" t="str">
        <f t="shared" si="49"/>
        <v>9001103791032026M11</v>
      </c>
      <c r="B3158">
        <v>51321001</v>
      </c>
      <c r="C3158">
        <v>37</v>
      </c>
      <c r="D3158">
        <v>900110</v>
      </c>
      <c r="E3158">
        <v>379103</v>
      </c>
      <c r="F3158" t="s">
        <v>115</v>
      </c>
      <c r="G3158" t="s">
        <v>73</v>
      </c>
      <c r="H3158">
        <v>1400149</v>
      </c>
      <c r="I3158">
        <v>0</v>
      </c>
      <c r="J3158">
        <v>1400148.39</v>
      </c>
      <c r="K3158">
        <v>0</v>
      </c>
      <c r="L3158">
        <v>0.61</v>
      </c>
    </row>
    <row r="3159" spans="1:12" x14ac:dyDescent="0.25">
      <c r="A3159" t="str">
        <f t="shared" si="49"/>
        <v>9001103791032026M12</v>
      </c>
      <c r="B3159">
        <v>51321001</v>
      </c>
      <c r="C3159">
        <v>37</v>
      </c>
      <c r="D3159">
        <v>900110</v>
      </c>
      <c r="E3159">
        <v>379103</v>
      </c>
      <c r="F3159" t="s">
        <v>115</v>
      </c>
      <c r="G3159" t="s">
        <v>74</v>
      </c>
      <c r="H3159">
        <v>2800296.78</v>
      </c>
      <c r="I3159">
        <v>0</v>
      </c>
      <c r="J3159">
        <v>2800296.78</v>
      </c>
      <c r="K3159">
        <v>0</v>
      </c>
      <c r="L3159">
        <v>0</v>
      </c>
    </row>
    <row r="3160" spans="1:12" x14ac:dyDescent="0.25">
      <c r="A3160" t="str">
        <f t="shared" si="49"/>
        <v>1001003890012026M02</v>
      </c>
      <c r="B3160">
        <v>51321001</v>
      </c>
      <c r="C3160">
        <v>38</v>
      </c>
      <c r="D3160">
        <v>100100</v>
      </c>
      <c r="E3160">
        <v>389001</v>
      </c>
      <c r="F3160" t="s">
        <v>115</v>
      </c>
      <c r="G3160" t="s">
        <v>64</v>
      </c>
      <c r="H3160">
        <v>0</v>
      </c>
      <c r="I3160">
        <v>0</v>
      </c>
      <c r="J3160">
        <v>0</v>
      </c>
      <c r="K3160">
        <v>0</v>
      </c>
      <c r="L3160">
        <v>0</v>
      </c>
    </row>
    <row r="3161" spans="1:12" x14ac:dyDescent="0.25">
      <c r="A3161" t="str">
        <f t="shared" si="49"/>
        <v>1001003890012026M03</v>
      </c>
      <c r="B3161">
        <v>51321001</v>
      </c>
      <c r="C3161">
        <v>38</v>
      </c>
      <c r="D3161">
        <v>100100</v>
      </c>
      <c r="E3161">
        <v>389001</v>
      </c>
      <c r="F3161" t="s">
        <v>115</v>
      </c>
      <c r="G3161" t="s">
        <v>65</v>
      </c>
      <c r="H3161">
        <v>11595357.74</v>
      </c>
      <c r="I3161">
        <v>11595357.74</v>
      </c>
      <c r="J3161">
        <v>0</v>
      </c>
      <c r="K3161">
        <v>0</v>
      </c>
      <c r="L3161">
        <v>0</v>
      </c>
    </row>
    <row r="3162" spans="1:12" x14ac:dyDescent="0.25">
      <c r="A3162" t="str">
        <f t="shared" si="49"/>
        <v>1001003890012026M04</v>
      </c>
      <c r="B3162">
        <v>51321001</v>
      </c>
      <c r="C3162">
        <v>38</v>
      </c>
      <c r="D3162">
        <v>100100</v>
      </c>
      <c r="E3162">
        <v>389001</v>
      </c>
      <c r="F3162" t="s">
        <v>115</v>
      </c>
      <c r="G3162" t="s">
        <v>66</v>
      </c>
      <c r="H3162">
        <v>5797678.8700000001</v>
      </c>
      <c r="I3162">
        <v>5797678.8700000001</v>
      </c>
      <c r="J3162">
        <v>0</v>
      </c>
      <c r="K3162">
        <v>0</v>
      </c>
      <c r="L3162">
        <v>0</v>
      </c>
    </row>
    <row r="3163" spans="1:12" x14ac:dyDescent="0.25">
      <c r="A3163" t="str">
        <f t="shared" ref="A3163:A3170" si="50">D3163&amp;E3163&amp;G3163</f>
        <v>1001003890012026M05</v>
      </c>
      <c r="B3163">
        <v>51321001</v>
      </c>
      <c r="C3163">
        <v>38</v>
      </c>
      <c r="D3163">
        <v>100100</v>
      </c>
      <c r="E3163">
        <v>389001</v>
      </c>
      <c r="F3163" t="s">
        <v>115</v>
      </c>
      <c r="G3163" t="s">
        <v>67</v>
      </c>
      <c r="H3163">
        <v>0</v>
      </c>
      <c r="I3163">
        <v>0</v>
      </c>
      <c r="J3163">
        <v>0</v>
      </c>
      <c r="K3163">
        <v>0</v>
      </c>
      <c r="L3163">
        <v>0</v>
      </c>
    </row>
    <row r="3164" spans="1:12" x14ac:dyDescent="0.25">
      <c r="A3164" t="str">
        <f t="shared" si="50"/>
        <v>1001003890012026M06</v>
      </c>
      <c r="B3164">
        <v>51321001</v>
      </c>
      <c r="C3164">
        <v>38</v>
      </c>
      <c r="D3164">
        <v>100100</v>
      </c>
      <c r="E3164">
        <v>389001</v>
      </c>
      <c r="F3164" t="s">
        <v>115</v>
      </c>
      <c r="G3164" t="s">
        <v>68</v>
      </c>
      <c r="H3164">
        <v>12664449.720000001</v>
      </c>
      <c r="I3164">
        <v>12664449.720000001</v>
      </c>
      <c r="J3164">
        <v>0</v>
      </c>
      <c r="K3164">
        <v>0</v>
      </c>
      <c r="L3164">
        <v>0</v>
      </c>
    </row>
    <row r="3165" spans="1:12" x14ac:dyDescent="0.25">
      <c r="A3165" t="str">
        <f t="shared" si="50"/>
        <v>1001003890012026M07</v>
      </c>
      <c r="B3165">
        <v>51321001</v>
      </c>
      <c r="C3165">
        <v>38</v>
      </c>
      <c r="D3165">
        <v>100100</v>
      </c>
      <c r="E3165">
        <v>389001</v>
      </c>
      <c r="F3165" t="s">
        <v>115</v>
      </c>
      <c r="G3165" t="s">
        <v>69</v>
      </c>
      <c r="H3165">
        <v>6332224.8600000003</v>
      </c>
      <c r="I3165">
        <v>6332224.8600000003</v>
      </c>
      <c r="J3165">
        <v>0</v>
      </c>
      <c r="K3165">
        <v>0</v>
      </c>
      <c r="L3165">
        <v>0</v>
      </c>
    </row>
    <row r="3166" spans="1:12" x14ac:dyDescent="0.25">
      <c r="A3166" t="str">
        <f t="shared" si="50"/>
        <v>1001003890012026M08</v>
      </c>
      <c r="B3166">
        <v>51321001</v>
      </c>
      <c r="C3166">
        <v>38</v>
      </c>
      <c r="D3166">
        <v>100100</v>
      </c>
      <c r="E3166">
        <v>389001</v>
      </c>
      <c r="F3166" t="s">
        <v>115</v>
      </c>
      <c r="G3166" t="s">
        <v>70</v>
      </c>
      <c r="H3166">
        <v>6332224.8600000003</v>
      </c>
      <c r="I3166">
        <v>6332224.8600000003</v>
      </c>
      <c r="J3166">
        <v>0</v>
      </c>
      <c r="K3166">
        <v>0</v>
      </c>
      <c r="L3166">
        <v>0</v>
      </c>
    </row>
    <row r="3167" spans="1:12" x14ac:dyDescent="0.25">
      <c r="A3167" t="str">
        <f t="shared" si="50"/>
        <v>1001003890012026M09</v>
      </c>
      <c r="B3167">
        <v>51321001</v>
      </c>
      <c r="C3167">
        <v>38</v>
      </c>
      <c r="D3167">
        <v>100100</v>
      </c>
      <c r="E3167">
        <v>389001</v>
      </c>
      <c r="F3167" t="s">
        <v>115</v>
      </c>
      <c r="G3167" t="s">
        <v>71</v>
      </c>
      <c r="H3167">
        <v>6332224.8600000003</v>
      </c>
      <c r="I3167">
        <v>6332224.8600000003</v>
      </c>
      <c r="J3167">
        <v>0</v>
      </c>
      <c r="K3167">
        <v>0</v>
      </c>
      <c r="L3167">
        <v>0</v>
      </c>
    </row>
    <row r="3168" spans="1:12" x14ac:dyDescent="0.25">
      <c r="A3168" t="str">
        <f t="shared" si="50"/>
        <v>1001003890012026M10</v>
      </c>
      <c r="B3168">
        <v>51321001</v>
      </c>
      <c r="C3168">
        <v>38</v>
      </c>
      <c r="D3168">
        <v>100100</v>
      </c>
      <c r="E3168">
        <v>389001</v>
      </c>
      <c r="F3168" t="s">
        <v>115</v>
      </c>
      <c r="G3168" t="s">
        <v>72</v>
      </c>
      <c r="H3168">
        <v>6332226.0899999999</v>
      </c>
      <c r="I3168">
        <v>6332224.8600000003</v>
      </c>
      <c r="J3168">
        <v>0.06</v>
      </c>
      <c r="K3168">
        <v>0</v>
      </c>
      <c r="L3168">
        <v>1.17</v>
      </c>
    </row>
    <row r="3169" spans="1:12" x14ac:dyDescent="0.25">
      <c r="A3169" t="str">
        <f t="shared" si="50"/>
        <v>1001003890012026M11</v>
      </c>
      <c r="B3169">
        <v>51321001</v>
      </c>
      <c r="C3169">
        <v>38</v>
      </c>
      <c r="D3169">
        <v>100100</v>
      </c>
      <c r="E3169">
        <v>389001</v>
      </c>
      <c r="F3169" t="s">
        <v>115</v>
      </c>
      <c r="G3169" t="s">
        <v>73</v>
      </c>
      <c r="H3169">
        <v>6332225</v>
      </c>
      <c r="I3169">
        <v>0</v>
      </c>
      <c r="J3169">
        <v>6332224.8700000001</v>
      </c>
      <c r="K3169">
        <v>0</v>
      </c>
      <c r="L3169">
        <v>0.13</v>
      </c>
    </row>
    <row r="3170" spans="1:12" x14ac:dyDescent="0.25">
      <c r="A3170" t="str">
        <f t="shared" si="50"/>
        <v>1001003890012026M12</v>
      </c>
      <c r="B3170">
        <v>51321001</v>
      </c>
      <c r="C3170">
        <v>38</v>
      </c>
      <c r="D3170">
        <v>100100</v>
      </c>
      <c r="E3170">
        <v>389001</v>
      </c>
      <c r="F3170" t="s">
        <v>115</v>
      </c>
      <c r="G3170" t="s">
        <v>74</v>
      </c>
      <c r="H3170">
        <v>12664450</v>
      </c>
      <c r="I3170">
        <v>0</v>
      </c>
      <c r="J3170">
        <v>12664449.800000001</v>
      </c>
      <c r="K3170">
        <v>0</v>
      </c>
      <c r="L3170">
        <v>0.2</v>
      </c>
    </row>
  </sheetData>
  <autoFilter ref="A9:L316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73</vt:i4>
      </vt:variant>
      <vt:variant>
        <vt:lpstr>Rangos con nombre</vt:lpstr>
      </vt:variant>
      <vt:variant>
        <vt:i4>142</vt:i4>
      </vt:variant>
    </vt:vector>
  </HeadingPairs>
  <TitlesOfParts>
    <vt:vector size="215" baseType="lpstr">
      <vt:lpstr>CONSOL</vt:lpstr>
      <vt:lpstr>AGS </vt:lpstr>
      <vt:lpstr>AGS_Calendario</vt:lpstr>
      <vt:lpstr>AGS CONT</vt:lpstr>
      <vt:lpstr>BC</vt:lpstr>
      <vt:lpstr>BC_Calendario</vt:lpstr>
      <vt:lpstr>BCS </vt:lpstr>
      <vt:lpstr>BCS_Calendario</vt:lpstr>
      <vt:lpstr>CAM</vt:lpstr>
      <vt:lpstr>CAM_Calendario</vt:lpstr>
      <vt:lpstr>COAH</vt:lpstr>
      <vt:lpstr>COAH_Calendario</vt:lpstr>
      <vt:lpstr>COL</vt:lpstr>
      <vt:lpstr>COL_Calendario</vt:lpstr>
      <vt:lpstr>CHIS</vt:lpstr>
      <vt:lpstr>CHIS_Calendario</vt:lpstr>
      <vt:lpstr>CHIH</vt:lpstr>
      <vt:lpstr>CHIH_Calendario</vt:lpstr>
      <vt:lpstr>NC</vt:lpstr>
      <vt:lpstr>NC_Calendario</vt:lpstr>
      <vt:lpstr>DGO</vt:lpstr>
      <vt:lpstr>DGO_Calendario</vt:lpstr>
      <vt:lpstr>GTO</vt:lpstr>
      <vt:lpstr>GTO_Calendario</vt:lpstr>
      <vt:lpstr>GRO</vt:lpstr>
      <vt:lpstr>GRO_Calendario</vt:lpstr>
      <vt:lpstr>HGO</vt:lpstr>
      <vt:lpstr>HGO_Calendario</vt:lpstr>
      <vt:lpstr>JAL</vt:lpstr>
      <vt:lpstr>JAL_Calendario</vt:lpstr>
      <vt:lpstr>EDO MEX OTE</vt:lpstr>
      <vt:lpstr>EDO MEX OTE_Calendario</vt:lpstr>
      <vt:lpstr>EDO MEX PTE</vt:lpstr>
      <vt:lpstr>EDO MEX PTE_Calendario</vt:lpstr>
      <vt:lpstr>MICH</vt:lpstr>
      <vt:lpstr>MICH_Calendario</vt:lpstr>
      <vt:lpstr>MOR</vt:lpstr>
      <vt:lpstr>MOR_Calendario</vt:lpstr>
      <vt:lpstr>NAY</vt:lpstr>
      <vt:lpstr>NAY_Calendario</vt:lpstr>
      <vt:lpstr>NL</vt:lpstr>
      <vt:lpstr>NL_Calendario</vt:lpstr>
      <vt:lpstr>OAX</vt:lpstr>
      <vt:lpstr>OAX_Calendario</vt:lpstr>
      <vt:lpstr>PUB</vt:lpstr>
      <vt:lpstr>PUB_Calendario</vt:lpstr>
      <vt:lpstr>QRO</vt:lpstr>
      <vt:lpstr>QRO_Calendario</vt:lpstr>
      <vt:lpstr>Q ROO</vt:lpstr>
      <vt:lpstr>Q ROO_Calendario</vt:lpstr>
      <vt:lpstr>SLP</vt:lpstr>
      <vt:lpstr>SLP_Calendario</vt:lpstr>
      <vt:lpstr>SIN</vt:lpstr>
      <vt:lpstr>SIN_Calendario</vt:lpstr>
      <vt:lpstr>SON</vt:lpstr>
      <vt:lpstr>SON_Calendario</vt:lpstr>
      <vt:lpstr>TAB</vt:lpstr>
      <vt:lpstr>TAB_Calendario</vt:lpstr>
      <vt:lpstr>TAMS</vt:lpstr>
      <vt:lpstr>TAMS_Calendario</vt:lpstr>
      <vt:lpstr>TLAX</vt:lpstr>
      <vt:lpstr>TLAX_Calendario</vt:lpstr>
      <vt:lpstr>VER NTE</vt:lpstr>
      <vt:lpstr>VER NTE_Calendario</vt:lpstr>
      <vt:lpstr>VER SUR</vt:lpstr>
      <vt:lpstr>VER SUR_Calendario</vt:lpstr>
      <vt:lpstr>ZAC</vt:lpstr>
      <vt:lpstr>ZAC_Calendario</vt:lpstr>
      <vt:lpstr>DF NTE</vt:lpstr>
      <vt:lpstr>DF NTE_Calendario</vt:lpstr>
      <vt:lpstr>DF SUR</vt:lpstr>
      <vt:lpstr>DF SUR_Calendario</vt:lpstr>
      <vt:lpstr>AVANCE060826</vt:lpstr>
      <vt:lpstr>'AGS '!Área_de_impresión</vt:lpstr>
      <vt:lpstr>'AGS CONT'!Área_de_impresión</vt:lpstr>
      <vt:lpstr>AGS_Calendario!Área_de_impresión</vt:lpstr>
      <vt:lpstr>BC!Área_de_impresión</vt:lpstr>
      <vt:lpstr>BC_Calendario!Área_de_impresión</vt:lpstr>
      <vt:lpstr>'BCS '!Área_de_impresión</vt:lpstr>
      <vt:lpstr>BCS_Calendario!Área_de_impresión</vt:lpstr>
      <vt:lpstr>CAM!Área_de_impresión</vt:lpstr>
      <vt:lpstr>CAM_Calendario!Área_de_impresión</vt:lpstr>
      <vt:lpstr>CHIH!Área_de_impresión</vt:lpstr>
      <vt:lpstr>CHIH_Calendario!Área_de_impresión</vt:lpstr>
      <vt:lpstr>CHIS!Área_de_impresión</vt:lpstr>
      <vt:lpstr>CHIS_Calendario!Área_de_impresión</vt:lpstr>
      <vt:lpstr>COAH!Área_de_impresión</vt:lpstr>
      <vt:lpstr>COAH_Calendario!Área_de_impresión</vt:lpstr>
      <vt:lpstr>COL!Área_de_impresión</vt:lpstr>
      <vt:lpstr>COL_Calendario!Área_de_impresión</vt:lpstr>
      <vt:lpstr>CONSOL!Área_de_impresión</vt:lpstr>
      <vt:lpstr>'DF NTE'!Área_de_impresión</vt:lpstr>
      <vt:lpstr>'DF NTE_Calendario'!Área_de_impresión</vt:lpstr>
      <vt:lpstr>'DF SUR'!Área_de_impresión</vt:lpstr>
      <vt:lpstr>'DF SUR_Calendario'!Área_de_impresión</vt:lpstr>
      <vt:lpstr>DGO!Área_de_impresión</vt:lpstr>
      <vt:lpstr>DGO_Calendario!Área_de_impresión</vt:lpstr>
      <vt:lpstr>'EDO MEX OTE'!Área_de_impresión</vt:lpstr>
      <vt:lpstr>'EDO MEX OTE_Calendario'!Área_de_impresión</vt:lpstr>
      <vt:lpstr>'EDO MEX PTE'!Área_de_impresión</vt:lpstr>
      <vt:lpstr>'EDO MEX PTE_Calendario'!Área_de_impresión</vt:lpstr>
      <vt:lpstr>GRO!Área_de_impresión</vt:lpstr>
      <vt:lpstr>GRO_Calendario!Área_de_impresión</vt:lpstr>
      <vt:lpstr>GTO!Área_de_impresión</vt:lpstr>
      <vt:lpstr>GTO_Calendario!Área_de_impresión</vt:lpstr>
      <vt:lpstr>HGO!Área_de_impresión</vt:lpstr>
      <vt:lpstr>HGO_Calendario!Área_de_impresión</vt:lpstr>
      <vt:lpstr>JAL!Área_de_impresión</vt:lpstr>
      <vt:lpstr>JAL_Calendario!Área_de_impresión</vt:lpstr>
      <vt:lpstr>MICH!Área_de_impresión</vt:lpstr>
      <vt:lpstr>MICH_Calendario!Área_de_impresión</vt:lpstr>
      <vt:lpstr>MOR!Área_de_impresión</vt:lpstr>
      <vt:lpstr>MOR_Calendario!Área_de_impresión</vt:lpstr>
      <vt:lpstr>NAY!Área_de_impresión</vt:lpstr>
      <vt:lpstr>NAY_Calendario!Área_de_impresión</vt:lpstr>
      <vt:lpstr>NC!Área_de_impresión</vt:lpstr>
      <vt:lpstr>NC_Calendario!Área_de_impresión</vt:lpstr>
      <vt:lpstr>NL!Área_de_impresión</vt:lpstr>
      <vt:lpstr>NL_Calendario!Área_de_impresión</vt:lpstr>
      <vt:lpstr>OAX!Área_de_impresión</vt:lpstr>
      <vt:lpstr>PUB!Área_de_impresión</vt:lpstr>
      <vt:lpstr>PUB_Calendario!Área_de_impresión</vt:lpstr>
      <vt:lpstr>'Q ROO'!Área_de_impresión</vt:lpstr>
      <vt:lpstr>'Q ROO_Calendario'!Área_de_impresión</vt:lpstr>
      <vt:lpstr>QRO!Área_de_impresión</vt:lpstr>
      <vt:lpstr>QRO_Calendario!Área_de_impresión</vt:lpstr>
      <vt:lpstr>SIN!Área_de_impresión</vt:lpstr>
      <vt:lpstr>SIN_Calendario!Área_de_impresión</vt:lpstr>
      <vt:lpstr>SLP!Área_de_impresión</vt:lpstr>
      <vt:lpstr>SLP_Calendario!Área_de_impresión</vt:lpstr>
      <vt:lpstr>SON!Área_de_impresión</vt:lpstr>
      <vt:lpstr>SON_Calendario!Área_de_impresión</vt:lpstr>
      <vt:lpstr>TAB!Área_de_impresión</vt:lpstr>
      <vt:lpstr>TAMS!Área_de_impresión</vt:lpstr>
      <vt:lpstr>TAMS_Calendario!Área_de_impresión</vt:lpstr>
      <vt:lpstr>TLAX!Área_de_impresión</vt:lpstr>
      <vt:lpstr>TLAX_Calendario!Área_de_impresión</vt:lpstr>
      <vt:lpstr>'VER NTE'!Área_de_impresión</vt:lpstr>
      <vt:lpstr>'VER NTE_Calendario'!Área_de_impresión</vt:lpstr>
      <vt:lpstr>'VER SUR'!Área_de_impresión</vt:lpstr>
      <vt:lpstr>ZAC!Área_de_impresión</vt:lpstr>
      <vt:lpstr>ZAC_Calendario!Área_de_impresión</vt:lpstr>
      <vt:lpstr>Base</vt:lpstr>
      <vt:lpstr>'AGS '!Títulos_a_imprimir</vt:lpstr>
      <vt:lpstr>'AGS CONT'!Títulos_a_imprimir</vt:lpstr>
      <vt:lpstr>AGS_Calendario!Títulos_a_imprimir</vt:lpstr>
      <vt:lpstr>BC!Títulos_a_imprimir</vt:lpstr>
      <vt:lpstr>BC_Calendario!Títulos_a_imprimir</vt:lpstr>
      <vt:lpstr>'BCS '!Títulos_a_imprimir</vt:lpstr>
      <vt:lpstr>BCS_Calendario!Títulos_a_imprimir</vt:lpstr>
      <vt:lpstr>CAM!Títulos_a_imprimir</vt:lpstr>
      <vt:lpstr>CAM_Calendario!Títulos_a_imprimir</vt:lpstr>
      <vt:lpstr>CHIH!Títulos_a_imprimir</vt:lpstr>
      <vt:lpstr>CHIH_Calendario!Títulos_a_imprimir</vt:lpstr>
      <vt:lpstr>CHIS!Títulos_a_imprimir</vt:lpstr>
      <vt:lpstr>CHIS_Calendario!Títulos_a_imprimir</vt:lpstr>
      <vt:lpstr>COAH!Títulos_a_imprimir</vt:lpstr>
      <vt:lpstr>COAH_Calendario!Títulos_a_imprimir</vt:lpstr>
      <vt:lpstr>COL!Títulos_a_imprimir</vt:lpstr>
      <vt:lpstr>COL_Calendario!Títulos_a_imprimir</vt:lpstr>
      <vt:lpstr>CONSOL!Títulos_a_imprimir</vt:lpstr>
      <vt:lpstr>'DF NTE'!Títulos_a_imprimir</vt:lpstr>
      <vt:lpstr>'DF NTE_Calendario'!Títulos_a_imprimir</vt:lpstr>
      <vt:lpstr>'DF SUR'!Títulos_a_imprimir</vt:lpstr>
      <vt:lpstr>'DF SUR_Calendario'!Títulos_a_imprimir</vt:lpstr>
      <vt:lpstr>DGO!Títulos_a_imprimir</vt:lpstr>
      <vt:lpstr>DGO_Calendario!Títulos_a_imprimir</vt:lpstr>
      <vt:lpstr>'EDO MEX OTE'!Títulos_a_imprimir</vt:lpstr>
      <vt:lpstr>'EDO MEX OTE_Calendario'!Títulos_a_imprimir</vt:lpstr>
      <vt:lpstr>'EDO MEX PTE'!Títulos_a_imprimir</vt:lpstr>
      <vt:lpstr>'EDO MEX PTE_Calendario'!Títulos_a_imprimir</vt:lpstr>
      <vt:lpstr>GRO!Títulos_a_imprimir</vt:lpstr>
      <vt:lpstr>GRO_Calendario!Títulos_a_imprimir</vt:lpstr>
      <vt:lpstr>GTO!Títulos_a_imprimir</vt:lpstr>
      <vt:lpstr>GTO_Calendario!Títulos_a_imprimir</vt:lpstr>
      <vt:lpstr>HGO!Títulos_a_imprimir</vt:lpstr>
      <vt:lpstr>HGO_Calendario!Títulos_a_imprimir</vt:lpstr>
      <vt:lpstr>JAL!Títulos_a_imprimir</vt:lpstr>
      <vt:lpstr>JAL_Calendario!Títulos_a_imprimir</vt:lpstr>
      <vt:lpstr>MICH!Títulos_a_imprimir</vt:lpstr>
      <vt:lpstr>MICH_Calendario!Títulos_a_imprimir</vt:lpstr>
      <vt:lpstr>MOR!Títulos_a_imprimir</vt:lpstr>
      <vt:lpstr>MOR_Calendario!Títulos_a_imprimir</vt:lpstr>
      <vt:lpstr>NAY!Títulos_a_imprimir</vt:lpstr>
      <vt:lpstr>NAY_Calendario!Títulos_a_imprimir</vt:lpstr>
      <vt:lpstr>NC!Títulos_a_imprimir</vt:lpstr>
      <vt:lpstr>NC_Calendario!Títulos_a_imprimir</vt:lpstr>
      <vt:lpstr>NL!Títulos_a_imprimir</vt:lpstr>
      <vt:lpstr>NL_Calendario!Títulos_a_imprimir</vt:lpstr>
      <vt:lpstr>OAX!Títulos_a_imprimir</vt:lpstr>
      <vt:lpstr>OAX_Calendario!Títulos_a_imprimir</vt:lpstr>
      <vt:lpstr>PUB!Títulos_a_imprimir</vt:lpstr>
      <vt:lpstr>PUB_Calendario!Títulos_a_imprimir</vt:lpstr>
      <vt:lpstr>'Q ROO'!Títulos_a_imprimir</vt:lpstr>
      <vt:lpstr>'Q ROO_Calendario'!Títulos_a_imprimir</vt:lpstr>
      <vt:lpstr>QRO!Títulos_a_imprimir</vt:lpstr>
      <vt:lpstr>QRO_Calendario!Títulos_a_imprimir</vt:lpstr>
      <vt:lpstr>SIN!Títulos_a_imprimir</vt:lpstr>
      <vt:lpstr>SIN_Calendario!Títulos_a_imprimir</vt:lpstr>
      <vt:lpstr>SLP!Títulos_a_imprimir</vt:lpstr>
      <vt:lpstr>SLP_Calendario!Títulos_a_imprimir</vt:lpstr>
      <vt:lpstr>SON!Títulos_a_imprimir</vt:lpstr>
      <vt:lpstr>SON_Calendario!Títulos_a_imprimir</vt:lpstr>
      <vt:lpstr>TAB!Títulos_a_imprimir</vt:lpstr>
      <vt:lpstr>TAB_Calendario!Títulos_a_imprimir</vt:lpstr>
      <vt:lpstr>TAMS!Títulos_a_imprimir</vt:lpstr>
      <vt:lpstr>TAMS_Calendario!Títulos_a_imprimir</vt:lpstr>
      <vt:lpstr>TLAX!Títulos_a_imprimir</vt:lpstr>
      <vt:lpstr>TLAX_Calendario!Títulos_a_imprimir</vt:lpstr>
      <vt:lpstr>'VER NTE'!Títulos_a_imprimir</vt:lpstr>
      <vt:lpstr>'VER NTE_Calendario'!Títulos_a_imprimir</vt:lpstr>
      <vt:lpstr>'VER SUR'!Títulos_a_imprimir</vt:lpstr>
      <vt:lpstr>'VER SUR_Calendario'!Títulos_a_imprimir</vt:lpstr>
      <vt:lpstr>ZAC!Títulos_a_imprimir</vt:lpstr>
      <vt:lpstr>ZAC_Calendario!Títulos_a_imprimir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Aurora Estrada Granados</cp:lastModifiedBy>
  <cp:lastPrinted>2026-08-26T17:13:59Z</cp:lastPrinted>
  <dcterms:created xsi:type="dcterms:W3CDTF">2020-10-24T00:26:58Z</dcterms:created>
  <dcterms:modified xsi:type="dcterms:W3CDTF">2026-10-07T18:49:43Z</dcterms:modified>
</cp:coreProperties>
</file>