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9585" yWindow="-15" windowWidth="9630" windowHeight="11715" tabRatio="690" activeTab="2"/>
  </bookViews>
  <sheets>
    <sheet name="Inmuebles 2022" sheetId="4" r:id="rId1"/>
    <sheet name="Concentrado" sheetId="5" r:id="rId2"/>
    <sheet name="Nuevos" sheetId="6" r:id="rId3"/>
  </sheets>
  <externalReferences>
    <externalReference r:id="rId4"/>
  </externalReferences>
  <definedNames>
    <definedName name="_xlnm._FilterDatabase" localSheetId="1" hidden="1">Concentrado!$A$3:$H$40</definedName>
    <definedName name="_xlnm._FilterDatabase" localSheetId="0" hidden="1">'Inmuebles 2022'!$B$14:$Y$296</definedName>
    <definedName name="_xlnm._FilterDatabase" localSheetId="2" hidden="1">Nuevos!$B$3:$G$3</definedName>
    <definedName name="ANUAL" localSheetId="1">#REF!</definedName>
    <definedName name="ANUAL" localSheetId="0">#REF!</definedName>
    <definedName name="ANUAL" localSheetId="2">#REF!</definedName>
    <definedName name="ANUAL">#REF!</definedName>
    <definedName name="_xlnm.Print_Area" localSheetId="1">Concentrado!$A$3:$H$40</definedName>
    <definedName name="_xlnm.Print_Area" localSheetId="0">'Inmuebles 2022'!$B$15:$Y$316</definedName>
    <definedName name="_xlnm.Print_Area" localSheetId="2">Nuevos!$B$3:$G$20</definedName>
    <definedName name="BASE" localSheetId="1">#REF!</definedName>
    <definedName name="BASE" localSheetId="0">#REF!</definedName>
    <definedName name="BASE" localSheetId="2">#REF!</definedName>
    <definedName name="BASE">#REF!</definedName>
    <definedName name="_xlnm.Database" localSheetId="1">#REF!</definedName>
    <definedName name="_xlnm.Database" localSheetId="0">#REF!</definedName>
    <definedName name="_xlnm.Database" localSheetId="2">#REF!</definedName>
    <definedName name="_xlnm.Database">#REF!</definedName>
    <definedName name="CONSTANTES" localSheetId="1">#REF!</definedName>
    <definedName name="CONSTANTES" localSheetId="0">#REF!</definedName>
    <definedName name="CONSTANTES" localSheetId="2">#REF!</definedName>
    <definedName name="CONSTANTES">#REF!</definedName>
    <definedName name="CORRIENTES" localSheetId="1">#REF!</definedName>
    <definedName name="CORRIENTES" localSheetId="0">#REF!</definedName>
    <definedName name="CORRIENTES" localSheetId="2">#REF!</definedName>
    <definedName name="CORRIENTES">#REF!</definedName>
    <definedName name="Daños_CH_2011">'[1]Ptto Pòlizas CH y Mandos'!$O$45</definedName>
    <definedName name="Inflaciòn_2011">'[1]Estimación Ptto 2011'!$C$83</definedName>
    <definedName name="inicial" localSheetId="1">#REF!</definedName>
    <definedName name="inicial" localSheetId="0">#REF!</definedName>
    <definedName name="inicial" localSheetId="2">#REF!</definedName>
    <definedName name="inicial">#REF!</definedName>
    <definedName name="Monto_Severidad_EE">'[1]Severidad EE'!$I$8</definedName>
    <definedName name="Monto_Severidad_II">'[1]Severidad II'!$I$11</definedName>
    <definedName name="Monto_Severidad_RC">'[1]Severidad RC'!$I$8</definedName>
    <definedName name="RESUMEN" localSheetId="1">#REF!</definedName>
    <definedName name="RESUMEN" localSheetId="0">#REF!</definedName>
    <definedName name="RESUMEN" localSheetId="2">#REF!</definedName>
    <definedName name="RESUMEN">#REF!</definedName>
    <definedName name="Tasa_IVA_2010">[1]Patrimonial!$B$114</definedName>
    <definedName name="TC_2009">'[1]Estimación Ptto 2011'!$C$85</definedName>
    <definedName name="TC_2011">'[1]Estimación Ptto 2011'!$C$84</definedName>
    <definedName name="_xlnm.Print_Titles" localSheetId="0">'Inmuebles 2022'!$1:$14</definedName>
    <definedName name="_xlnm.Print_Titles" localSheetId="2">Nuevos!$1:$3</definedName>
    <definedName name="Vida_CH_2011">'[1]Ptto Pòlizas CH y Mandos'!$E$45</definedName>
    <definedName name="Vida_Funcionarios_2011">'[1]Ptto Pòlizas CH y Mandos'!$AG$47</definedName>
  </definedNames>
  <calcPr calcId="145621"/>
</workbook>
</file>

<file path=xl/calcChain.xml><?xml version="1.0" encoding="utf-8"?>
<calcChain xmlns="http://schemas.openxmlformats.org/spreadsheetml/2006/main">
  <c r="F20" i="6" l="1"/>
  <c r="F15" i="6"/>
  <c r="Y315" i="4"/>
  <c r="B4" i="5" l="1"/>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C40" i="5"/>
  <c r="D40" i="5"/>
  <c r="E40" i="5"/>
  <c r="F40" i="5"/>
  <c r="G40" i="5"/>
  <c r="H40" i="5"/>
  <c r="Y301" i="4" l="1"/>
  <c r="X299" i="4" l="1"/>
  <c r="Y299" i="4" l="1"/>
  <c r="B312" i="4"/>
  <c r="X291" i="4"/>
  <c r="X288" i="4"/>
  <c r="X279" i="4"/>
  <c r="X278" i="4"/>
  <c r="X277" i="4"/>
  <c r="X276" i="4"/>
  <c r="X274" i="4"/>
  <c r="X273" i="4"/>
  <c r="X272" i="4"/>
  <c r="X267" i="4"/>
  <c r="X250" i="4"/>
  <c r="X240" i="4"/>
  <c r="X237" i="4"/>
  <c r="X236" i="4"/>
  <c r="X232" i="4"/>
  <c r="X226" i="4"/>
  <c r="X225" i="4"/>
  <c r="X211" i="4"/>
  <c r="X206" i="4"/>
  <c r="X203" i="4"/>
  <c r="X201" i="4"/>
  <c r="X198" i="4"/>
  <c r="X197" i="4"/>
  <c r="X196" i="4"/>
  <c r="X193" i="4"/>
  <c r="X187" i="4"/>
  <c r="X186" i="4"/>
  <c r="X182" i="4"/>
  <c r="X179" i="4"/>
  <c r="X176" i="4"/>
  <c r="X174" i="4"/>
  <c r="X173" i="4"/>
  <c r="X172" i="4"/>
  <c r="X171" i="4"/>
  <c r="X162" i="4"/>
  <c r="X156" i="4"/>
  <c r="X151" i="4"/>
  <c r="X150" i="4"/>
  <c r="X147" i="4"/>
  <c r="X137" i="4"/>
  <c r="X135" i="4"/>
  <c r="X133" i="4"/>
  <c r="X131" i="4"/>
  <c r="X130" i="4"/>
  <c r="X125" i="4"/>
  <c r="X124" i="4"/>
  <c r="X122" i="4"/>
  <c r="X117" i="4"/>
  <c r="X116" i="4"/>
  <c r="X114" i="4"/>
  <c r="X109" i="4"/>
  <c r="X108" i="4"/>
  <c r="X100" i="4"/>
  <c r="X91" i="4"/>
  <c r="X87" i="4"/>
  <c r="X86" i="4"/>
  <c r="X65" i="4"/>
  <c r="X64" i="4"/>
  <c r="X63" i="4"/>
  <c r="X61" i="4"/>
  <c r="X60" i="4"/>
  <c r="X29" i="4"/>
  <c r="X21" i="4"/>
  <c r="X15" i="4"/>
  <c r="X294" i="4"/>
  <c r="X293" i="4"/>
  <c r="X292" i="4"/>
  <c r="X275" i="4"/>
  <c r="X251" i="4"/>
  <c r="X249" i="4"/>
  <c r="X248" i="4"/>
  <c r="X246" i="4"/>
  <c r="X245" i="4"/>
  <c r="X243" i="4"/>
  <c r="X242" i="4"/>
  <c r="X239" i="4"/>
  <c r="X238" i="4"/>
  <c r="X235" i="4"/>
  <c r="X234" i="4"/>
  <c r="X231" i="4"/>
  <c r="X229" i="4"/>
  <c r="X227" i="4"/>
  <c r="X224" i="4"/>
  <c r="X223" i="4"/>
  <c r="X222" i="4"/>
  <c r="X221" i="4"/>
  <c r="X220" i="4"/>
  <c r="X218" i="4"/>
  <c r="X215" i="4"/>
  <c r="X214" i="4"/>
  <c r="X213" i="4"/>
  <c r="X212" i="4"/>
  <c r="X200" i="4"/>
  <c r="X192" i="4"/>
  <c r="X189" i="4"/>
  <c r="X183" i="4"/>
  <c r="X181" i="4"/>
  <c r="X180" i="4"/>
  <c r="X178" i="4"/>
  <c r="X177" i="4"/>
  <c r="X175" i="4"/>
  <c r="X169" i="4"/>
  <c r="X166" i="4"/>
  <c r="X159" i="4"/>
  <c r="X155" i="4"/>
  <c r="X149" i="4"/>
  <c r="X136" i="4"/>
  <c r="X121" i="4"/>
  <c r="X107" i="4"/>
  <c r="X105" i="4"/>
  <c r="X99" i="4"/>
  <c r="X97" i="4"/>
  <c r="X93" i="4"/>
  <c r="X92" i="4"/>
  <c r="X90" i="4"/>
  <c r="X89" i="4"/>
  <c r="X88" i="4"/>
  <c r="X85" i="4"/>
  <c r="X84" i="4"/>
  <c r="X83" i="4"/>
  <c r="X75" i="4"/>
  <c r="X74" i="4"/>
  <c r="X72" i="4"/>
  <c r="X71" i="4"/>
  <c r="X68" i="4"/>
  <c r="X62" i="4"/>
  <c r="X41" i="4"/>
  <c r="X40" i="4"/>
  <c r="X39" i="4"/>
  <c r="X24" i="4"/>
  <c r="X22" i="4"/>
  <c r="X18" i="4"/>
  <c r="W146" i="4"/>
  <c r="W144" i="4"/>
  <c r="W143" i="4"/>
  <c r="W139" i="4"/>
  <c r="T8" i="4"/>
  <c r="T11" i="4" s="1"/>
  <c r="H8" i="4"/>
  <c r="H11" i="4" s="1"/>
  <c r="Y303" i="4"/>
  <c r="Y304" i="4"/>
  <c r="X302" i="4"/>
  <c r="X312" i="4"/>
  <c r="X315" i="4" l="1"/>
  <c r="Y310" i="4"/>
  <c r="B313" i="4"/>
  <c r="B314" i="4" s="1"/>
  <c r="Z162" i="4"/>
  <c r="X309" i="4"/>
  <c r="X314" i="4"/>
  <c r="X308" i="4"/>
  <c r="X313" i="4"/>
  <c r="X307" i="4"/>
  <c r="X306" i="4"/>
  <c r="X305" i="4"/>
  <c r="X304" i="4"/>
  <c r="X303" i="4"/>
  <c r="X300" i="4"/>
  <c r="P296" i="4"/>
  <c r="O296" i="4"/>
  <c r="W295" i="4"/>
  <c r="X295" i="4" s="1"/>
  <c r="Q295" i="4"/>
  <c r="W294" i="4"/>
  <c r="Q294" i="4"/>
  <c r="W293" i="4"/>
  <c r="Q293" i="4"/>
  <c r="W292" i="4"/>
  <c r="Q292" i="4"/>
  <c r="W291" i="4"/>
  <c r="Q291" i="4"/>
  <c r="V290" i="4"/>
  <c r="W290" i="4" s="1"/>
  <c r="X290" i="4" s="1"/>
  <c r="Q290" i="4"/>
  <c r="V289" i="4"/>
  <c r="W289" i="4" s="1"/>
  <c r="X289" i="4" s="1"/>
  <c r="Q289" i="4"/>
  <c r="W288" i="4"/>
  <c r="Q288" i="4"/>
  <c r="W287" i="4"/>
  <c r="X287" i="4" s="1"/>
  <c r="Q287" i="4"/>
  <c r="W286" i="4"/>
  <c r="X286" i="4" s="1"/>
  <c r="Q286" i="4"/>
  <c r="W285" i="4"/>
  <c r="X285" i="4" s="1"/>
  <c r="Q285" i="4"/>
  <c r="W284" i="4"/>
  <c r="X284" i="4" s="1"/>
  <c r="Q284" i="4"/>
  <c r="W283" i="4"/>
  <c r="X283" i="4" s="1"/>
  <c r="Q283" i="4"/>
  <c r="W282" i="4"/>
  <c r="X282" i="4" s="1"/>
  <c r="Q282" i="4"/>
  <c r="W281" i="4"/>
  <c r="Q281" i="4"/>
  <c r="W280" i="4"/>
  <c r="Q280" i="4"/>
  <c r="W279" i="4"/>
  <c r="Q279" i="4"/>
  <c r="W278" i="4"/>
  <c r="Q278" i="4"/>
  <c r="W277" i="4"/>
  <c r="Q277" i="4"/>
  <c r="W276" i="4"/>
  <c r="Q276" i="4"/>
  <c r="W275" i="4"/>
  <c r="Q275" i="4"/>
  <c r="W274" i="4"/>
  <c r="Q274" i="4"/>
  <c r="W273" i="4"/>
  <c r="Q273" i="4"/>
  <c r="W272" i="4"/>
  <c r="Q272" i="4"/>
  <c r="W271" i="4"/>
  <c r="X271" i="4" s="1"/>
  <c r="Q271" i="4"/>
  <c r="W270" i="4"/>
  <c r="X270" i="4" s="1"/>
  <c r="Q270" i="4"/>
  <c r="W269" i="4"/>
  <c r="X269" i="4" s="1"/>
  <c r="Q269" i="4"/>
  <c r="W268" i="4"/>
  <c r="X268" i="4" s="1"/>
  <c r="Q268" i="4"/>
  <c r="W267" i="4"/>
  <c r="Q267" i="4"/>
  <c r="W266" i="4"/>
  <c r="X266" i="4" s="1"/>
  <c r="Q266" i="4"/>
  <c r="W265" i="4"/>
  <c r="X265" i="4" s="1"/>
  <c r="Q265" i="4"/>
  <c r="V264" i="4"/>
  <c r="W264" i="4" s="1"/>
  <c r="X264" i="4" s="1"/>
  <c r="Q264" i="4"/>
  <c r="W263" i="4"/>
  <c r="X263" i="4" s="1"/>
  <c r="Q263" i="4"/>
  <c r="V262" i="4"/>
  <c r="W262" i="4" s="1"/>
  <c r="X262" i="4" s="1"/>
  <c r="Q262" i="4"/>
  <c r="V261" i="4"/>
  <c r="W261" i="4" s="1"/>
  <c r="X261" i="4" s="1"/>
  <c r="Q261" i="4"/>
  <c r="W260" i="4"/>
  <c r="X260" i="4" s="1"/>
  <c r="Q260" i="4"/>
  <c r="V259" i="4"/>
  <c r="X259" i="4" s="1"/>
  <c r="Q259" i="4"/>
  <c r="V258" i="4"/>
  <c r="W258" i="4" s="1"/>
  <c r="X258" i="4" s="1"/>
  <c r="Q258" i="4"/>
  <c r="V257" i="4"/>
  <c r="W257" i="4" s="1"/>
  <c r="X257" i="4" s="1"/>
  <c r="Q257" i="4"/>
  <c r="W256" i="4"/>
  <c r="X256" i="4" s="1"/>
  <c r="Q256" i="4"/>
  <c r="W255" i="4"/>
  <c r="X255" i="4" s="1"/>
  <c r="Q255" i="4"/>
  <c r="W254" i="4"/>
  <c r="Q254" i="4"/>
  <c r="W253" i="4"/>
  <c r="X253" i="4" s="1"/>
  <c r="Q253" i="4"/>
  <c r="W252" i="4"/>
  <c r="Q252" i="4"/>
  <c r="W251" i="4"/>
  <c r="Q251" i="4"/>
  <c r="W250" i="4"/>
  <c r="Q250" i="4"/>
  <c r="W249" i="4"/>
  <c r="Q249" i="4"/>
  <c r="W248" i="4"/>
  <c r="Q248" i="4"/>
  <c r="V247" i="4"/>
  <c r="Q247" i="4"/>
  <c r="W246" i="4"/>
  <c r="Q246" i="4"/>
  <c r="W245" i="4"/>
  <c r="Q245" i="4"/>
  <c r="W244" i="4"/>
  <c r="X244" i="4" s="1"/>
  <c r="Q244" i="4"/>
  <c r="W243" i="4"/>
  <c r="Q243" i="4"/>
  <c r="W242" i="4"/>
  <c r="Q242" i="4"/>
  <c r="W241" i="4"/>
  <c r="Q241" i="4"/>
  <c r="W240" i="4"/>
  <c r="Q240" i="4"/>
  <c r="W239" i="4"/>
  <c r="Q239" i="4"/>
  <c r="W238" i="4"/>
  <c r="Q238" i="4"/>
  <c r="W237" i="4"/>
  <c r="Q237" i="4"/>
  <c r="W236" i="4"/>
  <c r="Q236" i="4"/>
  <c r="W235" i="4"/>
  <c r="Q235" i="4"/>
  <c r="W234" i="4"/>
  <c r="Q234" i="4"/>
  <c r="V233" i="4"/>
  <c r="Q233" i="4"/>
  <c r="W232" i="4"/>
  <c r="Q232" i="4"/>
  <c r="W231" i="4"/>
  <c r="Q231" i="4"/>
  <c r="V230" i="4"/>
  <c r="X230" i="4" s="1"/>
  <c r="Q230" i="4"/>
  <c r="W229" i="4"/>
  <c r="Q229" i="4"/>
  <c r="V228" i="4"/>
  <c r="X228" i="4" s="1"/>
  <c r="Q228" i="4"/>
  <c r="W227" i="4"/>
  <c r="Q227" i="4"/>
  <c r="W226" i="4"/>
  <c r="Q226" i="4"/>
  <c r="W225" i="4"/>
  <c r="Q225" i="4"/>
  <c r="W224" i="4"/>
  <c r="Q224" i="4"/>
  <c r="W223" i="4"/>
  <c r="Q223" i="4"/>
  <c r="W222" i="4"/>
  <c r="Q222" i="4"/>
  <c r="W221" i="4"/>
  <c r="Q221" i="4"/>
  <c r="W220" i="4"/>
  <c r="Q220" i="4"/>
  <c r="W219" i="4"/>
  <c r="X219" i="4" s="1"/>
  <c r="Q219" i="4"/>
  <c r="W218" i="4"/>
  <c r="Q218" i="4"/>
  <c r="W217" i="4"/>
  <c r="X217" i="4" s="1"/>
  <c r="Q217" i="4"/>
  <c r="W216" i="4"/>
  <c r="X216" i="4" s="1"/>
  <c r="Q216" i="4"/>
  <c r="W215" i="4"/>
  <c r="Q215" i="4"/>
  <c r="W214" i="4"/>
  <c r="Q214" i="4"/>
  <c r="J214" i="4"/>
  <c r="W213" i="4"/>
  <c r="Q213" i="4"/>
  <c r="W212" i="4"/>
  <c r="Q212" i="4"/>
  <c r="W211" i="4"/>
  <c r="Q211" i="4"/>
  <c r="W210" i="4"/>
  <c r="X210" i="4" s="1"/>
  <c r="Q210" i="4"/>
  <c r="W209" i="4"/>
  <c r="X209" i="4" s="1"/>
  <c r="Q209" i="4"/>
  <c r="W208" i="4"/>
  <c r="X208" i="4" s="1"/>
  <c r="Q208" i="4"/>
  <c r="W207" i="4"/>
  <c r="X207" i="4" s="1"/>
  <c r="Q207" i="4"/>
  <c r="W206" i="4"/>
  <c r="Q206" i="4"/>
  <c r="V205" i="4"/>
  <c r="X205" i="4" s="1"/>
  <c r="Q205" i="4"/>
  <c r="V204" i="4"/>
  <c r="W204" i="4" s="1"/>
  <c r="X204" i="4" s="1"/>
  <c r="Q204" i="4"/>
  <c r="W203" i="4"/>
  <c r="Q203" i="4"/>
  <c r="V202" i="4"/>
  <c r="W202" i="4" s="1"/>
  <c r="X202" i="4" s="1"/>
  <c r="Q202" i="4"/>
  <c r="W201" i="4"/>
  <c r="Q201" i="4"/>
  <c r="W200" i="4"/>
  <c r="Q200" i="4"/>
  <c r="W199" i="4"/>
  <c r="X199" i="4" s="1"/>
  <c r="Q199" i="4"/>
  <c r="W198" i="4"/>
  <c r="Q198" i="4"/>
  <c r="W197" i="4"/>
  <c r="Q197" i="4"/>
  <c r="W196" i="4"/>
  <c r="Q196" i="4"/>
  <c r="W195" i="4"/>
  <c r="Q195" i="4"/>
  <c r="W194" i="4"/>
  <c r="X194" i="4" s="1"/>
  <c r="Q194" i="4"/>
  <c r="W193" i="4"/>
  <c r="Q193" i="4"/>
  <c r="W192" i="4"/>
  <c r="Q192" i="4"/>
  <c r="W191" i="4"/>
  <c r="X191" i="4" s="1"/>
  <c r="Q191" i="4"/>
  <c r="W190" i="4"/>
  <c r="X190" i="4" s="1"/>
  <c r="Q190" i="4"/>
  <c r="W189" i="4"/>
  <c r="Q189" i="4"/>
  <c r="W188" i="4"/>
  <c r="X188" i="4" s="1"/>
  <c r="Q188" i="4"/>
  <c r="W187" i="4"/>
  <c r="Q187" i="4"/>
  <c r="W186" i="4"/>
  <c r="Q186" i="4"/>
  <c r="W185" i="4"/>
  <c r="Q185" i="4"/>
  <c r="W184" i="4"/>
  <c r="X184" i="4" s="1"/>
  <c r="Q184" i="4"/>
  <c r="W183" i="4"/>
  <c r="Q183" i="4"/>
  <c r="W182" i="4"/>
  <c r="Q182" i="4"/>
  <c r="W181" i="4"/>
  <c r="Q181" i="4"/>
  <c r="W180" i="4"/>
  <c r="Q180" i="4"/>
  <c r="W179" i="4"/>
  <c r="Q179" i="4"/>
  <c r="W178" i="4"/>
  <c r="Q178" i="4"/>
  <c r="W177" i="4"/>
  <c r="Q177" i="4"/>
  <c r="W176" i="4"/>
  <c r="Q176" i="4"/>
  <c r="W175" i="4"/>
  <c r="Q175" i="4"/>
  <c r="W174" i="4"/>
  <c r="Q174" i="4"/>
  <c r="W173" i="4"/>
  <c r="Q173" i="4"/>
  <c r="W172" i="4"/>
  <c r="Q172" i="4"/>
  <c r="W171" i="4"/>
  <c r="Q171" i="4"/>
  <c r="V170" i="4"/>
  <c r="W170" i="4" s="1"/>
  <c r="X170" i="4" s="1"/>
  <c r="Q170" i="4"/>
  <c r="W169" i="4"/>
  <c r="Q169" i="4"/>
  <c r="W168" i="4"/>
  <c r="X168" i="4" s="1"/>
  <c r="Q168" i="4"/>
  <c r="W167" i="4"/>
  <c r="X167" i="4" s="1"/>
  <c r="Q167" i="4"/>
  <c r="W166" i="4"/>
  <c r="Q166" i="4"/>
  <c r="W165" i="4"/>
  <c r="X165" i="4" s="1"/>
  <c r="Q165" i="4"/>
  <c r="W164" i="4"/>
  <c r="X164" i="4" s="1"/>
  <c r="Q164" i="4"/>
  <c r="W163" i="4"/>
  <c r="Q163" i="4"/>
  <c r="W162" i="4"/>
  <c r="Q162" i="4"/>
  <c r="V161" i="4"/>
  <c r="W161" i="4" s="1"/>
  <c r="X161" i="4" s="1"/>
  <c r="Q161" i="4"/>
  <c r="W160" i="4"/>
  <c r="X160" i="4" s="1"/>
  <c r="Q160" i="4"/>
  <c r="W159" i="4"/>
  <c r="Q159" i="4"/>
  <c r="W158" i="4"/>
  <c r="X158" i="4" s="1"/>
  <c r="Q158" i="4"/>
  <c r="W157" i="4"/>
  <c r="X157" i="4" s="1"/>
  <c r="Q157" i="4"/>
  <c r="W156" i="4"/>
  <c r="Q156" i="4"/>
  <c r="W155" i="4"/>
  <c r="Q155" i="4"/>
  <c r="W154" i="4"/>
  <c r="X154" i="4" s="1"/>
  <c r="Q154" i="4"/>
  <c r="W153" i="4"/>
  <c r="X153" i="4" s="1"/>
  <c r="Q153" i="4"/>
  <c r="W152" i="4"/>
  <c r="X152" i="4" s="1"/>
  <c r="Q152" i="4"/>
  <c r="W151" i="4"/>
  <c r="Q151" i="4"/>
  <c r="W150" i="4"/>
  <c r="Q150" i="4"/>
  <c r="W149" i="4"/>
  <c r="Q149" i="4"/>
  <c r="W148" i="4"/>
  <c r="X148" i="4" s="1"/>
  <c r="Q148" i="4"/>
  <c r="W147" i="4"/>
  <c r="Q147" i="4"/>
  <c r="X146" i="4"/>
  <c r="Q146" i="4"/>
  <c r="W145" i="4"/>
  <c r="X145" i="4" s="1"/>
  <c r="Q145" i="4"/>
  <c r="X144" i="4"/>
  <c r="Q144" i="4"/>
  <c r="X143" i="4"/>
  <c r="Q143" i="4"/>
  <c r="W142" i="4"/>
  <c r="X142" i="4" s="1"/>
  <c r="Q142" i="4"/>
  <c r="W141" i="4"/>
  <c r="X141" i="4" s="1"/>
  <c r="Q141" i="4"/>
  <c r="W140" i="4"/>
  <c r="X140" i="4" s="1"/>
  <c r="Q140" i="4"/>
  <c r="X139" i="4"/>
  <c r="Z148" i="4" s="1"/>
  <c r="Q139" i="4"/>
  <c r="V138" i="4"/>
  <c r="Q138" i="4"/>
  <c r="W137" i="4"/>
  <c r="Q137" i="4"/>
  <c r="W136" i="4"/>
  <c r="Q136" i="4"/>
  <c r="W135" i="4"/>
  <c r="Q135" i="4"/>
  <c r="W134" i="4"/>
  <c r="X134" i="4" s="1"/>
  <c r="Q134" i="4"/>
  <c r="W133" i="4"/>
  <c r="Q133" i="4"/>
  <c r="W132" i="4"/>
  <c r="X132" i="4" s="1"/>
  <c r="Q132" i="4"/>
  <c r="W131" i="4"/>
  <c r="Q131" i="4"/>
  <c r="W130" i="4"/>
  <c r="Q130" i="4"/>
  <c r="V129" i="4"/>
  <c r="Q129" i="4"/>
  <c r="V128" i="4"/>
  <c r="W128" i="4" s="1"/>
  <c r="X128" i="4" s="1"/>
  <c r="Q128" i="4"/>
  <c r="W127" i="4"/>
  <c r="X127" i="4" s="1"/>
  <c r="Q127" i="4"/>
  <c r="W126" i="4"/>
  <c r="X126" i="4" s="1"/>
  <c r="Q126" i="4"/>
  <c r="W125" i="4"/>
  <c r="Q125" i="4"/>
  <c r="W124" i="4"/>
  <c r="Q124" i="4"/>
  <c r="W123" i="4"/>
  <c r="X123" i="4" s="1"/>
  <c r="Q123" i="4"/>
  <c r="W122" i="4"/>
  <c r="Q122" i="4"/>
  <c r="W121" i="4"/>
  <c r="Q121" i="4"/>
  <c r="W120" i="4"/>
  <c r="X120" i="4" s="1"/>
  <c r="Q120" i="4"/>
  <c r="V119" i="4"/>
  <c r="Q119" i="4"/>
  <c r="V118" i="4"/>
  <c r="Q118" i="4"/>
  <c r="W117" i="4"/>
  <c r="Q117" i="4"/>
  <c r="W116" i="4"/>
  <c r="Q116" i="4"/>
  <c r="W115" i="4"/>
  <c r="X115" i="4" s="1"/>
  <c r="Q115" i="4"/>
  <c r="W114" i="4"/>
  <c r="Q114" i="4"/>
  <c r="V113" i="4"/>
  <c r="W113" i="4" s="1"/>
  <c r="X113" i="4" s="1"/>
  <c r="Q113" i="4"/>
  <c r="W112" i="4"/>
  <c r="X112" i="4" s="1"/>
  <c r="Q112" i="4"/>
  <c r="W111" i="4"/>
  <c r="X111" i="4" s="1"/>
  <c r="Q111" i="4"/>
  <c r="W110" i="4"/>
  <c r="X110" i="4" s="1"/>
  <c r="Q110" i="4"/>
  <c r="W109" i="4"/>
  <c r="Q109" i="4"/>
  <c r="W108" i="4"/>
  <c r="Q108" i="4"/>
  <c r="W107" i="4"/>
  <c r="Q107" i="4"/>
  <c r="W106" i="4"/>
  <c r="X106" i="4" s="1"/>
  <c r="Q106" i="4"/>
  <c r="W105" i="4"/>
  <c r="Q105" i="4"/>
  <c r="W104" i="4"/>
  <c r="X104" i="4" s="1"/>
  <c r="Q104" i="4"/>
  <c r="W103" i="4"/>
  <c r="X103" i="4" s="1"/>
  <c r="Q103" i="4"/>
  <c r="W102" i="4"/>
  <c r="X102" i="4" s="1"/>
  <c r="Q102" i="4"/>
  <c r="W101" i="4"/>
  <c r="Q101" i="4"/>
  <c r="W100" i="4"/>
  <c r="Q100" i="4"/>
  <c r="W99" i="4"/>
  <c r="Q99" i="4"/>
  <c r="W98" i="4"/>
  <c r="X98" i="4" s="1"/>
  <c r="Q98" i="4"/>
  <c r="W97" i="4"/>
  <c r="Q97" i="4"/>
  <c r="W96" i="4"/>
  <c r="X96" i="4" s="1"/>
  <c r="Q96" i="4"/>
  <c r="W95" i="4"/>
  <c r="X95" i="4" s="1"/>
  <c r="Q95" i="4"/>
  <c r="W94" i="4"/>
  <c r="X94" i="4" s="1"/>
  <c r="Q94" i="4"/>
  <c r="W93" i="4"/>
  <c r="Q93" i="4"/>
  <c r="W92" i="4"/>
  <c r="Q92" i="4"/>
  <c r="W91" i="4"/>
  <c r="Q91" i="4"/>
  <c r="W90" i="4"/>
  <c r="Q90" i="4"/>
  <c r="W89" i="4"/>
  <c r="Q89" i="4"/>
  <c r="W88" i="4"/>
  <c r="Q88" i="4"/>
  <c r="W87" i="4"/>
  <c r="Q87" i="4"/>
  <c r="W86" i="4"/>
  <c r="Q86" i="4"/>
  <c r="W85" i="4"/>
  <c r="Q85" i="4"/>
  <c r="W84" i="4"/>
  <c r="Q84" i="4"/>
  <c r="W83" i="4"/>
  <c r="Q83" i="4"/>
  <c r="W82" i="4"/>
  <c r="X82" i="4" s="1"/>
  <c r="Q82" i="4"/>
  <c r="W81" i="4"/>
  <c r="X81" i="4" s="1"/>
  <c r="Q81" i="4"/>
  <c r="W80" i="4"/>
  <c r="X80" i="4" s="1"/>
  <c r="Q80" i="4"/>
  <c r="W79" i="4"/>
  <c r="X79" i="4" s="1"/>
  <c r="Q79" i="4"/>
  <c r="W78" i="4"/>
  <c r="X78" i="4" s="1"/>
  <c r="Q78" i="4"/>
  <c r="W77" i="4"/>
  <c r="X77" i="4" s="1"/>
  <c r="Q77" i="4"/>
  <c r="W76" i="4"/>
  <c r="X76" i="4" s="1"/>
  <c r="Q76" i="4"/>
  <c r="W75" i="4"/>
  <c r="Q75" i="4"/>
  <c r="W74" i="4"/>
  <c r="Q74" i="4"/>
  <c r="W73" i="4"/>
  <c r="X73" i="4" s="1"/>
  <c r="Q73" i="4"/>
  <c r="W72" i="4"/>
  <c r="Q72" i="4"/>
  <c r="W71" i="4"/>
  <c r="Q71" i="4"/>
  <c r="W70" i="4"/>
  <c r="X70" i="4" s="1"/>
  <c r="Q70" i="4"/>
  <c r="W69" i="4"/>
  <c r="X69" i="4" s="1"/>
  <c r="Q69" i="4"/>
  <c r="W68" i="4"/>
  <c r="Q68" i="4"/>
  <c r="W67" i="4"/>
  <c r="X67" i="4" s="1"/>
  <c r="W66" i="4"/>
  <c r="X66" i="4" s="1"/>
  <c r="Q66" i="4"/>
  <c r="W65" i="4"/>
  <c r="Q65" i="4"/>
  <c r="W64" i="4"/>
  <c r="Q64" i="4"/>
  <c r="W63" i="4"/>
  <c r="Q63" i="4"/>
  <c r="W62" i="4"/>
  <c r="Q62" i="4"/>
  <c r="W61" i="4"/>
  <c r="Q61" i="4"/>
  <c r="W60" i="4"/>
  <c r="Q60" i="4"/>
  <c r="V59" i="4"/>
  <c r="Q59" i="4"/>
  <c r="V58" i="4"/>
  <c r="Q58" i="4"/>
  <c r="V57" i="4"/>
  <c r="X57" i="4" s="1"/>
  <c r="Q57" i="4"/>
  <c r="V56" i="4"/>
  <c r="Q56" i="4"/>
  <c r="V55" i="4"/>
  <c r="X55" i="4" s="1"/>
  <c r="Q55" i="4"/>
  <c r="V54" i="4"/>
  <c r="Q54" i="4"/>
  <c r="V53" i="4"/>
  <c r="X53" i="4" s="1"/>
  <c r="Q53" i="4"/>
  <c r="V52" i="4"/>
  <c r="Q52" i="4"/>
  <c r="V51" i="4"/>
  <c r="Q51" i="4"/>
  <c r="V50" i="4"/>
  <c r="Q50" i="4"/>
  <c r="W49" i="4"/>
  <c r="X49" i="4" s="1"/>
  <c r="Q49" i="4"/>
  <c r="W48" i="4"/>
  <c r="V48" i="4"/>
  <c r="X48" i="4" s="1"/>
  <c r="Q48" i="4"/>
  <c r="V47" i="4"/>
  <c r="Q47" i="4"/>
  <c r="V46" i="4"/>
  <c r="Q46" i="4"/>
  <c r="V45" i="4"/>
  <c r="Q45" i="4"/>
  <c r="V44" i="4"/>
  <c r="X44" i="4" s="1"/>
  <c r="Q44" i="4"/>
  <c r="V43" i="4"/>
  <c r="W43" i="4" s="1"/>
  <c r="X43" i="4" s="1"/>
  <c r="Q43" i="4"/>
  <c r="W42" i="4"/>
  <c r="X42" i="4" s="1"/>
  <c r="Q42" i="4"/>
  <c r="W41" i="4"/>
  <c r="Q41" i="4"/>
  <c r="W40" i="4"/>
  <c r="Q40" i="4"/>
  <c r="W39" i="4"/>
  <c r="Q39" i="4"/>
  <c r="W38" i="4"/>
  <c r="X38" i="4" s="1"/>
  <c r="Q38" i="4"/>
  <c r="W37" i="4"/>
  <c r="X37" i="4" s="1"/>
  <c r="Q37" i="4"/>
  <c r="V36" i="4"/>
  <c r="W36" i="4" s="1"/>
  <c r="X36" i="4" s="1"/>
  <c r="Q36" i="4"/>
  <c r="V35" i="4"/>
  <c r="W35" i="4" s="1"/>
  <c r="X35" i="4" s="1"/>
  <c r="Q35" i="4"/>
  <c r="V34" i="4"/>
  <c r="X34" i="4" s="1"/>
  <c r="Q34" i="4"/>
  <c r="V33" i="4"/>
  <c r="Q33" i="4"/>
  <c r="V32" i="4"/>
  <c r="W32" i="4" s="1"/>
  <c r="X32" i="4" s="1"/>
  <c r="Q32" i="4"/>
  <c r="V31" i="4"/>
  <c r="W31" i="4" s="1"/>
  <c r="X31" i="4" s="1"/>
  <c r="Q31" i="4"/>
  <c r="W30" i="4"/>
  <c r="X30" i="4" s="1"/>
  <c r="Q30" i="4"/>
  <c r="W29" i="4"/>
  <c r="Q29" i="4"/>
  <c r="W28" i="4"/>
  <c r="Q28" i="4"/>
  <c r="W27" i="4"/>
  <c r="X27" i="4" s="1"/>
  <c r="Q27" i="4"/>
  <c r="W26" i="4"/>
  <c r="X26" i="4" s="1"/>
  <c r="Q26" i="4"/>
  <c r="W25" i="4"/>
  <c r="X25" i="4" s="1"/>
  <c r="Q25" i="4"/>
  <c r="W24" i="4"/>
  <c r="Q24" i="4"/>
  <c r="W23" i="4"/>
  <c r="Q23" i="4"/>
  <c r="W22" i="4"/>
  <c r="Q22" i="4"/>
  <c r="W21" i="4"/>
  <c r="Q21" i="4"/>
  <c r="W20" i="4"/>
  <c r="Q20" i="4"/>
  <c r="W19" i="4"/>
  <c r="X19" i="4" s="1"/>
  <c r="Q19" i="4"/>
  <c r="W18" i="4"/>
  <c r="Q18" i="4"/>
  <c r="W17" i="4"/>
  <c r="X17" i="4" s="1"/>
  <c r="Q17" i="4"/>
  <c r="W16" i="4"/>
  <c r="X16" i="4" s="1"/>
  <c r="Q16" i="4"/>
  <c r="W15" i="4"/>
  <c r="Q15" i="4"/>
  <c r="X310" i="4" l="1"/>
  <c r="W34" i="4"/>
  <c r="W57" i="4"/>
  <c r="W50" i="4"/>
  <c r="X50" i="4"/>
  <c r="W51" i="4"/>
  <c r="X51" i="4"/>
  <c r="W52" i="4"/>
  <c r="X52" i="4"/>
  <c r="W58" i="4"/>
  <c r="X58" i="4"/>
  <c r="W33" i="4"/>
  <c r="X33" i="4"/>
  <c r="W44" i="4"/>
  <c r="W45" i="4"/>
  <c r="X45" i="4"/>
  <c r="W46" i="4"/>
  <c r="X46" i="4"/>
  <c r="W47" i="4"/>
  <c r="X47" i="4"/>
  <c r="W53" i="4"/>
  <c r="W54" i="4"/>
  <c r="X54" i="4"/>
  <c r="W56" i="4"/>
  <c r="X56" i="4"/>
  <c r="W118" i="4"/>
  <c r="X118" i="4"/>
  <c r="W119" i="4"/>
  <c r="X119" i="4"/>
  <c r="W129" i="4"/>
  <c r="X129" i="4"/>
  <c r="W138" i="4"/>
  <c r="X138" i="4"/>
  <c r="Z138" i="4" s="1"/>
  <c r="W59" i="4"/>
  <c r="X59" i="4"/>
  <c r="W233" i="4"/>
  <c r="X233" i="4"/>
  <c r="Z240" i="4" s="1"/>
  <c r="W247" i="4"/>
  <c r="X247" i="4"/>
  <c r="Z251" i="4" s="1"/>
  <c r="X28" i="4"/>
  <c r="Z28" i="4" s="1"/>
  <c r="X163" i="4"/>
  <c r="Z168" i="4" s="1"/>
  <c r="X185" i="4"/>
  <c r="Z194" i="4" s="1"/>
  <c r="X195" i="4"/>
  <c r="Z202" i="4" s="1"/>
  <c r="X241" i="4"/>
  <c r="Z241" i="4" s="1"/>
  <c r="X252" i="4"/>
  <c r="Z253" i="4" s="1"/>
  <c r="X254" i="4"/>
  <c r="Z266" i="4" s="1"/>
  <c r="X280" i="4"/>
  <c r="Z280" i="4" s="1"/>
  <c r="X281" i="4"/>
  <c r="Z288" i="4" s="1"/>
  <c r="X20" i="4"/>
  <c r="Z22" i="4" s="1"/>
  <c r="X23" i="4"/>
  <c r="Z27" i="4" s="1"/>
  <c r="X101" i="4"/>
  <c r="Z102" i="4" s="1"/>
  <c r="Z100" i="4"/>
  <c r="Z205" i="4"/>
  <c r="Z279" i="4"/>
  <c r="Z84" i="4"/>
  <c r="Z93" i="4"/>
  <c r="Z157" i="4"/>
  <c r="Z184" i="4"/>
  <c r="Z161" i="4"/>
  <c r="Z221" i="4"/>
  <c r="Z290" i="4"/>
  <c r="Z19" i="4"/>
  <c r="Z209" i="4"/>
  <c r="Z295" i="4"/>
  <c r="Z42" i="4"/>
  <c r="Z70" i="4"/>
  <c r="Z38" i="4"/>
  <c r="W55" i="4"/>
  <c r="W205" i="4"/>
  <c r="W228" i="4"/>
  <c r="W230" i="4"/>
  <c r="W259" i="4"/>
  <c r="Z137" i="4" l="1"/>
  <c r="Z49" i="4"/>
  <c r="Z65" i="4"/>
  <c r="X296" i="4"/>
  <c r="Y316" i="4" l="1"/>
  <c r="X316" i="4"/>
  <c r="Z296" i="4"/>
</calcChain>
</file>

<file path=xl/sharedStrings.xml><?xml version="1.0" encoding="utf-8"?>
<sst xmlns="http://schemas.openxmlformats.org/spreadsheetml/2006/main" count="3188" uniqueCount="1620">
  <si>
    <t>No.</t>
  </si>
  <si>
    <t>Delegación</t>
  </si>
  <si>
    <t>Dirección del inmueble arrendado</t>
  </si>
  <si>
    <t>Servicio</t>
  </si>
  <si>
    <t>Arrendador</t>
  </si>
  <si>
    <t>Superficie rentable (m2)</t>
  </si>
  <si>
    <t>Costo por m2 (pesos)</t>
  </si>
  <si>
    <t>Fecha de inicio del arrendamiento</t>
  </si>
  <si>
    <t>Total de años en renta</t>
  </si>
  <si>
    <t>Año del último incremento otorgado</t>
  </si>
  <si>
    <t>Porcentaje de último incremento otorgado</t>
  </si>
  <si>
    <t>SUSTITUCIÓN</t>
  </si>
  <si>
    <t>01-OCT-90</t>
  </si>
  <si>
    <t>RENOVACIÓN CON INCREMENTO</t>
  </si>
  <si>
    <t>01-NOV-94</t>
  </si>
  <si>
    <t>16-JUL-04</t>
  </si>
  <si>
    <t>-</t>
  </si>
  <si>
    <t>01-FEB-94</t>
  </si>
  <si>
    <t>01-ENE -10</t>
  </si>
  <si>
    <t>01-AGO-94</t>
  </si>
  <si>
    <t xml:space="preserve">01-AGO-86
</t>
  </si>
  <si>
    <t>01-JUN-14</t>
  </si>
  <si>
    <t>01-JUL-05</t>
  </si>
  <si>
    <t>01-JUN-02</t>
  </si>
  <si>
    <t>01-FEB-00</t>
  </si>
  <si>
    <t>21-DIC-98</t>
  </si>
  <si>
    <t>01-MAY-92</t>
  </si>
  <si>
    <t xml:space="preserve">01-JUL-00 </t>
  </si>
  <si>
    <t xml:space="preserve">01-FEB-02 </t>
  </si>
  <si>
    <t xml:space="preserve">01-JUL-01 </t>
  </si>
  <si>
    <t xml:space="preserve">01-JUN-05 </t>
  </si>
  <si>
    <t xml:space="preserve">09-MAR-01 </t>
  </si>
  <si>
    <t xml:space="preserve">10-NOV-01 </t>
  </si>
  <si>
    <t xml:space="preserve">01-ABR-90 </t>
  </si>
  <si>
    <t xml:space="preserve">01-NOV-05 </t>
  </si>
  <si>
    <t xml:space="preserve">01-ENE-06 </t>
  </si>
  <si>
    <t>01-ABR-11</t>
  </si>
  <si>
    <t>01-JUL-90</t>
  </si>
  <si>
    <t xml:space="preserve">01-ENE-00 </t>
  </si>
  <si>
    <t xml:space="preserve">30-NOV-92 </t>
  </si>
  <si>
    <t xml:space="preserve">01-FEB-94 </t>
  </si>
  <si>
    <t xml:space="preserve">01-ENE-12 </t>
  </si>
  <si>
    <t>01-ENE-06</t>
  </si>
  <si>
    <t xml:space="preserve">01-AGO-92 </t>
  </si>
  <si>
    <t xml:space="preserve">16-SEP-86 </t>
  </si>
  <si>
    <t xml:space="preserve">01-ABRIL-91 </t>
  </si>
  <si>
    <t xml:space="preserve">01-NOV-91 </t>
  </si>
  <si>
    <t>01-ENE-12</t>
  </si>
  <si>
    <t xml:space="preserve">01-MZO-00 </t>
  </si>
  <si>
    <t xml:space="preserve">01-JUN-92 </t>
  </si>
  <si>
    <t>01-ENE-13</t>
  </si>
  <si>
    <t>16-ABR-12</t>
  </si>
  <si>
    <t>NUEVO ARRENDAMIENTO</t>
  </si>
  <si>
    <t>15-FEB-14</t>
  </si>
  <si>
    <t>17-MAY-04</t>
  </si>
  <si>
    <t xml:space="preserve">01-NOV-10 </t>
  </si>
  <si>
    <t>01-AGO-2012</t>
  </si>
  <si>
    <t>16-NOV-1992</t>
  </si>
  <si>
    <t>02-MAY-02</t>
  </si>
  <si>
    <t>01-ENE-89</t>
  </si>
  <si>
    <t>01-AGO-11</t>
  </si>
  <si>
    <t>01-JUN-94</t>
  </si>
  <si>
    <t xml:space="preserve">01-JUL-86 </t>
  </si>
  <si>
    <t xml:space="preserve">01-NOV-00 </t>
  </si>
  <si>
    <t>01-FEB-12</t>
  </si>
  <si>
    <t>01-JUL-93</t>
  </si>
  <si>
    <t>01-AGO-98</t>
  </si>
  <si>
    <t>01-JUN-87</t>
  </si>
  <si>
    <t>01-SEP-03</t>
  </si>
  <si>
    <t>01-MZO-96</t>
  </si>
  <si>
    <t>01-JULIO-06</t>
  </si>
  <si>
    <t>01-MAY-96</t>
  </si>
  <si>
    <t xml:space="preserve">01-AGO-91 </t>
  </si>
  <si>
    <t>01-JUL-2012</t>
  </si>
  <si>
    <t>01-JUN-04</t>
  </si>
  <si>
    <t>01-JUN-2002</t>
  </si>
  <si>
    <t>01-MZO-00</t>
  </si>
  <si>
    <t>01-JUL-2011</t>
  </si>
  <si>
    <t>01-FEB-06</t>
  </si>
  <si>
    <t>01-ENE-10</t>
  </si>
  <si>
    <t>01-AGO-05</t>
  </si>
  <si>
    <t>18-FEB-83</t>
  </si>
  <si>
    <t>01-SEP-14</t>
  </si>
  <si>
    <t>15-NOV-89</t>
  </si>
  <si>
    <t>16-MZO-01</t>
  </si>
  <si>
    <t xml:space="preserve">01-JUN-88 </t>
  </si>
  <si>
    <t>01-SEP-02</t>
  </si>
  <si>
    <t>01-MAY-05</t>
  </si>
  <si>
    <t>01-NOV-08</t>
  </si>
  <si>
    <t>01-SEP-91</t>
  </si>
  <si>
    <t>23-JUL-98</t>
  </si>
  <si>
    <t>01-ABR-00</t>
  </si>
  <si>
    <t>01-OCT-95</t>
  </si>
  <si>
    <t>01-NOV-92</t>
  </si>
  <si>
    <t>22-SEP-03</t>
  </si>
  <si>
    <t>01-ENE-92</t>
  </si>
  <si>
    <t>20-ABR-71</t>
  </si>
  <si>
    <t>01-JUL-76</t>
  </si>
  <si>
    <t>01-ENE-90</t>
  </si>
  <si>
    <t>01-ENE-93</t>
  </si>
  <si>
    <t>01-OCT-91</t>
  </si>
  <si>
    <t>1º-FEB-09</t>
  </si>
  <si>
    <t>24-JUN-94</t>
  </si>
  <si>
    <t>16-ENE-01</t>
  </si>
  <si>
    <t>17-DIC-93</t>
  </si>
  <si>
    <t>01-JUN-07</t>
  </si>
  <si>
    <t>16-SEP-08</t>
  </si>
  <si>
    <t>01-ENE-00</t>
  </si>
  <si>
    <t>01-NOV-76</t>
  </si>
  <si>
    <t>01-OCT-02</t>
  </si>
  <si>
    <t>01-NOV-11</t>
  </si>
  <si>
    <t>01-MAY-84</t>
  </si>
  <si>
    <t>01-NOV-87</t>
  </si>
  <si>
    <t>21-NOV-99</t>
  </si>
  <si>
    <t>01-JUN-08</t>
  </si>
  <si>
    <t>01-MAY-06</t>
  </si>
  <si>
    <t>01-MAY-14</t>
  </si>
  <si>
    <t>01-FEB-69</t>
  </si>
  <si>
    <t>01-MAY-86</t>
  </si>
  <si>
    <t>01-AGO-99</t>
  </si>
  <si>
    <t>01-MAYO-12</t>
  </si>
  <si>
    <t>01-DIC-88</t>
  </si>
  <si>
    <t>175 VIEJOS  PESOS</t>
  </si>
  <si>
    <t>01-JUL-98</t>
  </si>
  <si>
    <t>01-SEP-11</t>
  </si>
  <si>
    <t>01-JUN-12</t>
  </si>
  <si>
    <t>02-MZO-98</t>
  </si>
  <si>
    <t>01-NOV-00</t>
  </si>
  <si>
    <t>01-SEP-09</t>
  </si>
  <si>
    <t>16-MZO-03</t>
  </si>
  <si>
    <t>16-MAY-03</t>
  </si>
  <si>
    <t>16-SEPT-02</t>
  </si>
  <si>
    <t>01-AGO-96</t>
  </si>
  <si>
    <t>16-OCT-03</t>
  </si>
  <si>
    <t>01-JUL-87</t>
  </si>
  <si>
    <t>01-JUL-91</t>
  </si>
  <si>
    <t>01-JUN-98</t>
  </si>
  <si>
    <t>01-MAY-99</t>
  </si>
  <si>
    <t>01-DIC-01</t>
  </si>
  <si>
    <t>15-NOV-88</t>
  </si>
  <si>
    <t>01-MAR-97</t>
  </si>
  <si>
    <t>01-JUL-71</t>
  </si>
  <si>
    <t>01-FEB-04</t>
  </si>
  <si>
    <t>01-MAYO-08</t>
  </si>
  <si>
    <t>01-MAR-93</t>
  </si>
  <si>
    <t>01-ABR-09</t>
  </si>
  <si>
    <t>01-ENE-09</t>
  </si>
  <si>
    <t>01-JUN-11</t>
  </si>
  <si>
    <t>15-DIC-93</t>
  </si>
  <si>
    <t>18-NOV-02</t>
  </si>
  <si>
    <t>01-OCT-13</t>
  </si>
  <si>
    <t>11-MZO-99</t>
  </si>
  <si>
    <t>31-DIC-90</t>
  </si>
  <si>
    <t>01-SEP-12</t>
  </si>
  <si>
    <t>01-DIC-91</t>
  </si>
  <si>
    <t>01-SEP-92</t>
  </si>
  <si>
    <t xml:space="preserve">01-JUN-87 </t>
  </si>
  <si>
    <t>01-OCT-89</t>
  </si>
  <si>
    <t>16-NOV-92</t>
  </si>
  <si>
    <t xml:space="preserve">01-JUN-07
</t>
  </si>
  <si>
    <t>02-FEB-96</t>
  </si>
  <si>
    <t xml:space="preserve">01-JUN-01 
</t>
  </si>
  <si>
    <t xml:space="preserve">01-ENE-04
</t>
  </si>
  <si>
    <t xml:space="preserve">01-AGO-07
</t>
  </si>
  <si>
    <t xml:space="preserve">01-DIC-00
</t>
  </si>
  <si>
    <t xml:space="preserve">01-NOV-00
</t>
  </si>
  <si>
    <t xml:space="preserve">01-JUL-96 
</t>
  </si>
  <si>
    <t>01-FEB-97</t>
  </si>
  <si>
    <t>10-ENE-93</t>
  </si>
  <si>
    <t xml:space="preserve">01-SEP-84 
</t>
  </si>
  <si>
    <t>16 OCT-87</t>
  </si>
  <si>
    <t>01-MAY-90</t>
  </si>
  <si>
    <t xml:space="preserve">01-NOV-97 
</t>
  </si>
  <si>
    <t xml:space="preserve">01-SEP-10 </t>
  </si>
  <si>
    <t>06-NOV-98</t>
  </si>
  <si>
    <t>05-JUN-91</t>
  </si>
  <si>
    <t>30-ENE-06</t>
  </si>
  <si>
    <t>13-JUL-94</t>
  </si>
  <si>
    <t>14-OCT-93</t>
  </si>
  <si>
    <t>04-MAY-99</t>
  </si>
  <si>
    <t xml:space="preserve">10-MZO-92
 </t>
  </si>
  <si>
    <t>27-MAY-10</t>
  </si>
  <si>
    <t xml:space="preserve">01-JUN-99
</t>
  </si>
  <si>
    <t>14-SEP-06</t>
  </si>
  <si>
    <t>01-MAY-08</t>
  </si>
  <si>
    <t>16-MAY-92</t>
  </si>
  <si>
    <t>01-SEP-89</t>
  </si>
  <si>
    <t xml:space="preserve">01-SEP-96 </t>
  </si>
  <si>
    <t>01/OCT/91</t>
  </si>
  <si>
    <t xml:space="preserve">01-NOV-06  </t>
  </si>
  <si>
    <t>01-SEP-10</t>
  </si>
  <si>
    <t>01-JUN-99</t>
  </si>
  <si>
    <t>01-DIC-98</t>
  </si>
  <si>
    <t>01-ENE-01</t>
  </si>
  <si>
    <t xml:space="preserve">02-AGO-92  </t>
  </si>
  <si>
    <t>01-ENE-02</t>
  </si>
  <si>
    <t>14-JUN-02</t>
  </si>
  <si>
    <t>01-MAY-04</t>
  </si>
  <si>
    <t>01-NOV-83</t>
  </si>
  <si>
    <t>30-JUN-09</t>
  </si>
  <si>
    <t>01-DIC-12</t>
  </si>
  <si>
    <t xml:space="preserve">01-MAY-86 </t>
  </si>
  <si>
    <t>Monto de renta mensual actual sin IVA</t>
  </si>
  <si>
    <t>Monto de renta mensual al inicio del arrendamiento sin IVA</t>
  </si>
  <si>
    <t>01-FEB-15 AL 31-DIC-15</t>
  </si>
  <si>
    <t>01-MAY-15</t>
  </si>
  <si>
    <t>Observaciones</t>
  </si>
  <si>
    <t>01-ENE-15</t>
  </si>
  <si>
    <t>01-ABR-15</t>
  </si>
  <si>
    <t>16-JUL-15</t>
  </si>
  <si>
    <t>01-DIC-15</t>
  </si>
  <si>
    <t>01-ENE-16</t>
  </si>
  <si>
    <t>01-AGO-15</t>
  </si>
  <si>
    <t>01-ABR-16</t>
  </si>
  <si>
    <t>01-MAR-16</t>
  </si>
  <si>
    <t>01-OCT-15</t>
  </si>
  <si>
    <t xml:space="preserve"> </t>
  </si>
  <si>
    <t>01-AGO-16</t>
  </si>
  <si>
    <t>01-SEP-15</t>
  </si>
  <si>
    <t xml:space="preserve"> 23-ENE-91</t>
  </si>
  <si>
    <t>Aguascalientes</t>
  </si>
  <si>
    <t>Oficinas Administrativas de la Subdelegación Metropolitana Norte</t>
  </si>
  <si>
    <t>Oficinas Administrativas de la Subdelegación Metropolitana Sur</t>
  </si>
  <si>
    <t>Centro de Capacitación</t>
  </si>
  <si>
    <t>Baja California</t>
  </si>
  <si>
    <t>Consultorios Médicos</t>
  </si>
  <si>
    <t>Centro de Extensión de Conocimientos y Esquema Modificado</t>
  </si>
  <si>
    <t>Oficinas Administrativas Subdelegacionales</t>
  </si>
  <si>
    <t>Alejandrina Soto Acuña</t>
  </si>
  <si>
    <t>Baja California Sur</t>
  </si>
  <si>
    <t>Rosa Carmina Orozco Lucero</t>
  </si>
  <si>
    <t>Clementina Chávez Campos</t>
  </si>
  <si>
    <t>Maricel Mateotti
 Springa</t>
  </si>
  <si>
    <t>Chiapas</t>
  </si>
  <si>
    <t>Unidad Deportiva</t>
  </si>
  <si>
    <t>Tienda No. 12</t>
  </si>
  <si>
    <t>Tienda No. 13</t>
  </si>
  <si>
    <t>Bodega de Bienes Embargados y Archivo de Concentración</t>
  </si>
  <si>
    <t>Gobierno del Estado de Chiapas</t>
  </si>
  <si>
    <t>Maria Guadalupe de León Lira</t>
  </si>
  <si>
    <t>Industrializadora de Cacahuates Orssal, S. de R.L. / L.M. Carlos Javier Orantes Salinas</t>
  </si>
  <si>
    <t>Francisco Javier de Gyves Córdova, Usufructuario</t>
  </si>
  <si>
    <t xml:space="preserve">Esther Guadalupe Palacios Urbina / R.L. Guillermo Duque de Estrada Sánchez </t>
  </si>
  <si>
    <t>Unidad de Medicina Familiar No. 9</t>
  </si>
  <si>
    <t>Unidad de Medicina Familiar No. 32</t>
  </si>
  <si>
    <t>Unidad de Medicina Familiar No. 45</t>
  </si>
  <si>
    <t>Unidad de Medicina Familiar No. 57</t>
  </si>
  <si>
    <t>Compañía Minera San Francisco S. A. de C. V. / Manuel Cañas Galván</t>
  </si>
  <si>
    <t>Heraclio Martínez Landaverde</t>
  </si>
  <si>
    <t>Tienda Nº.14</t>
  </si>
  <si>
    <t>Tienda Nº. 97 y Oficinas Administrativas (Coordinación de Prestaciones Económicas y Sociales)</t>
  </si>
  <si>
    <t>Almacén Delegacional (Bienes No Terapéuticos)</t>
  </si>
  <si>
    <t>Inmobiliaria Bensa, S.A. de C.V. / Rubén Herrera Herrera</t>
  </si>
  <si>
    <t xml:space="preserve"> Inmobiliaria Santa Rosa, S. A. de C.V. / Francisco del Olmo Mompo</t>
  </si>
  <si>
    <t>Bodega de Bienes Embargados</t>
  </si>
  <si>
    <t>Raquel Ramos Ontiveros y Gilberto Fierro Castro</t>
  </si>
  <si>
    <t>Enrique Quintana Duarte</t>
  </si>
  <si>
    <t>Chihuahua</t>
  </si>
  <si>
    <t>Coahuila</t>
  </si>
  <si>
    <t>Unidad de Medicina Familiar No. 4</t>
  </si>
  <si>
    <t>Unidad de Medicina Familiar No. 80</t>
  </si>
  <si>
    <t>Tienda</t>
  </si>
  <si>
    <t>Almacén Delegacional</t>
  </si>
  <si>
    <t>Martha Leticia Váldez Váldez</t>
  </si>
  <si>
    <t>Capital Mexicanos S. A. / Nicolás Papadopulus Villalobos</t>
  </si>
  <si>
    <t>Álvaro Morales Rodríguez</t>
  </si>
  <si>
    <t>Aristides Papadopulus Villalobos</t>
  </si>
  <si>
    <t>Catalina Calderón Cárdenas</t>
  </si>
  <si>
    <t>Antonio Zapata Rodriguez</t>
  </si>
  <si>
    <t>Rosa María Guajardo Arteaga</t>
  </si>
  <si>
    <t>Colima</t>
  </si>
  <si>
    <t>Coorporativo Cruz del Sur, S.A. de C.V. / Mauricio Cruz Escobar</t>
  </si>
  <si>
    <t>C. J. de Jesús Rubio Flores</t>
  </si>
  <si>
    <t>Durango</t>
  </si>
  <si>
    <t>Unidad de Medicina Familiar N°. 4</t>
  </si>
  <si>
    <t>Unidad de Medicina Familiar N°. 14</t>
  </si>
  <si>
    <t>Unidad de Medicina Familiar No. 48</t>
  </si>
  <si>
    <t>Unidad de Medicina Familiar N°.  49</t>
  </si>
  <si>
    <t>Unidad de Medicina Familiar N°.  50</t>
  </si>
  <si>
    <t>Unidad de Medicina Familiar N°.  52</t>
  </si>
  <si>
    <t>Ricardo Moreno Guardado</t>
  </si>
  <si>
    <t>Maria Teresa Jáuregui Castro</t>
  </si>
  <si>
    <t>Coorporación Mexicana Para el Desarrollo / R.L. Ing. León Zaldívar Mijares</t>
  </si>
  <si>
    <t>Raquel Reyes López</t>
  </si>
  <si>
    <t>Ejido "San Pablo"  / R.L. Manuel Sanabria Soto</t>
  </si>
  <si>
    <t>Tienda N°. 115</t>
  </si>
  <si>
    <t>Inmobiliaria Francisco de Ibarra S.A. de C.V. / Jorge Saravia Castillón</t>
  </si>
  <si>
    <t>Unidad de Medicina Familiar N°.  47</t>
  </si>
  <si>
    <t>Martin Silvestre Herrera / Maria Dolores Silvestre de Garza</t>
  </si>
  <si>
    <t>Luz Maria Ortega Márquez</t>
  </si>
  <si>
    <t>Juan Carlos Arias Anzurez</t>
  </si>
  <si>
    <t>Estado de México Oriente</t>
  </si>
  <si>
    <t>Centro de Seguridad Social</t>
  </si>
  <si>
    <t>Alberto Galante Zaga</t>
  </si>
  <si>
    <t>Estado de México Poniente</t>
  </si>
  <si>
    <t>Unidad de Medicina Familiar Nº.230 Comisión Federal de Electricidad</t>
  </si>
  <si>
    <t>Unidad de Medicina Familiar Nº. 232</t>
  </si>
  <si>
    <t>Unidad de Medicina Familiar Nº. 233</t>
  </si>
  <si>
    <t>Albina Sibilina Leonor Bobadilla Muciño./ Walter Albino Bobadilla Muciño</t>
  </si>
  <si>
    <t>Carlos Raul Alvear Robledo</t>
  </si>
  <si>
    <t>José Luis Martínez Gamboa</t>
  </si>
  <si>
    <t>Palemón Romero Palma</t>
  </si>
  <si>
    <t>Grupo Inmobiliario La Joya de Zomeyucan, S.A. de C.V./ María Concepción Jacob Martínez Administrador Único</t>
  </si>
  <si>
    <t>Guanajuato</t>
  </si>
  <si>
    <t>Tienda No. 19</t>
  </si>
  <si>
    <t xml:space="preserve">Oficinas Administrativas Subdelegacionales </t>
  </si>
  <si>
    <t xml:space="preserve">Julio Alberto Jordan Torres </t>
  </si>
  <si>
    <t xml:space="preserve">Pablo Nava Rocha </t>
  </si>
  <si>
    <t>Maria Dolores Juarez Villagómez / Dr. José Ramón Vega Aboytes</t>
  </si>
  <si>
    <t>Luz Marina Guzmán Yáñez</t>
  </si>
  <si>
    <t xml:space="preserve">Eva Lopez Maldonado </t>
  </si>
  <si>
    <t>Luz de Lourdes Ibarra Aranda---Francisco Javier Ibarra Aranda</t>
  </si>
  <si>
    <t xml:space="preserve">Emilio, José y José Felipe Tome Elías. </t>
  </si>
  <si>
    <t xml:space="preserve">Ramón Delgado Godínez </t>
  </si>
  <si>
    <t>Guerrero</t>
  </si>
  <si>
    <t>Unidad de Medicina Familiar Nº. 7</t>
  </si>
  <si>
    <t>Unidad de Medicina Familiar Nº. 11</t>
  </si>
  <si>
    <t>Unidad de Medicina Familiar Nº. 27</t>
  </si>
  <si>
    <t>Rafaela Nava Luna</t>
  </si>
  <si>
    <t>Edelmira Segura Mendoza</t>
  </si>
  <si>
    <t>Dora María Núñez Martín del Campo</t>
  </si>
  <si>
    <t>Unidad de Medicina Familiar Nº. 22</t>
  </si>
  <si>
    <t>Blanca Estela Sotelo Figueroa</t>
  </si>
  <si>
    <t>María Cristina Rodríguez Garza</t>
  </si>
  <si>
    <t>Maria de los Ángeles Solis Sánchez</t>
  </si>
  <si>
    <t>Hidalgo</t>
  </si>
  <si>
    <t>Oficinas Administrativas Subdelegacionales y Bodega de Bienes Embargados</t>
  </si>
  <si>
    <t>Estudios Especializados en Construcción y Desarrollo de Proyectos S.A. de C.V. / Martha Briggett Martínez Sánchez</t>
  </si>
  <si>
    <t>Tienda No. 121</t>
  </si>
  <si>
    <t>Antonio Islas García</t>
  </si>
  <si>
    <t>Jalisco</t>
  </si>
  <si>
    <t>Unidad de Medicina Familiar N°. 11</t>
  </si>
  <si>
    <t>Unidad de Medicina Familiar N°. 12</t>
  </si>
  <si>
    <t>Unidad de Medicina Familiar N°. 17</t>
  </si>
  <si>
    <t>Unidad de Medicina Familiar N°. 40</t>
  </si>
  <si>
    <t>Unidad de Medicina Familiar N°. 54</t>
  </si>
  <si>
    <t>Unidad de Medicina Familiar N°.  56</t>
  </si>
  <si>
    <t>Juan Manuel Landeros Rodriguez./ R.L. Santos López Gomez</t>
  </si>
  <si>
    <t>Empaques de Cartón Titán, S.A. de C.V. / Francisco Javier Ochoa Ramirez</t>
  </si>
  <si>
    <t>H. Ayuntamiento Tlaquepaque / Miguel Castro Reynoso, Luis Córdova Díaz, Armando González Romo y Fidel Ramírez Casillas</t>
  </si>
  <si>
    <t>Unidad de Medicina Familiar N°. 79</t>
  </si>
  <si>
    <t>Unidad de Medicina Familiar N°.  94</t>
  </si>
  <si>
    <t>Unidad de Medicina Familiar N°. 96</t>
  </si>
  <si>
    <t>Unidad de Medicina Familia N°. 100</t>
  </si>
  <si>
    <t>Unidad de Medicina Familiar Nº. 114</t>
  </si>
  <si>
    <t>H. Ayuntamiento de Guadalajara./ Javier Ramirez Acuña</t>
  </si>
  <si>
    <t>José Luis Álvarez Ruíz</t>
  </si>
  <si>
    <t>Eduardo Figueroa Salcedo</t>
  </si>
  <si>
    <t>Roberto Zúñiga Guerrero / Esperanza Zuñiga Guerrero</t>
  </si>
  <si>
    <t>Jose Joaquín Reyes / María de los Ángeles Reyes Figueroa</t>
  </si>
  <si>
    <t>Unidad de Atención Primaria a La Salud N°. 159</t>
  </si>
  <si>
    <t>Unidad de Medicina Familiar N°. 169</t>
  </si>
  <si>
    <t>Unidad de Atención Primaria a La Salud N°. 106</t>
  </si>
  <si>
    <t>Unidad de Atención Primaria a La Salud N°. 120</t>
  </si>
  <si>
    <t>José Luis González García</t>
  </si>
  <si>
    <t>Rafael Monteon Velasco</t>
  </si>
  <si>
    <t>Fortino Fregoso Fregoso</t>
  </si>
  <si>
    <t>Arnulfo Contreras Pérez</t>
  </si>
  <si>
    <t>Unidad de Atención Primaria a La Salud N°. 130</t>
  </si>
  <si>
    <t>Unidad de Atención Primaria a La Salud N°. 131</t>
  </si>
  <si>
    <t>Ignacio Márquez Rodríguez</t>
  </si>
  <si>
    <t>Club Deportivo Aquasol, S.A. de C.V./ José Guadalupe Padilla López</t>
  </si>
  <si>
    <t>José Antonio Chávez Cortés./ Juana Cortés Martínez</t>
  </si>
  <si>
    <t>María Agripina Gutiérrez Pérez / Martina Gutiérrez Pérez</t>
  </si>
  <si>
    <t>Susana García Carrillo</t>
  </si>
  <si>
    <t>Juan Magaña Angel y Ma. de Jesús Palomino Hernández / Georgina Rodríguez Quezada</t>
  </si>
  <si>
    <t>Consultorios del Hospital General Regional N°. 45</t>
  </si>
  <si>
    <t>Centro Comunitario de Salud Mental</t>
  </si>
  <si>
    <t>Alma Aurelia y Estela Esperanza Gonzalez Lara / R.L. Héctor Vicente González Lara</t>
  </si>
  <si>
    <t>Sanatorios de México,S.A. / Verónica Esmeralda Delgado Andalón</t>
  </si>
  <si>
    <t>José Guadalupe Arellano Cruz</t>
  </si>
  <si>
    <t>Pablo Leopoldo Martin del Campo y Otros</t>
  </si>
  <si>
    <t>Gloria María González  Franco</t>
  </si>
  <si>
    <t>Oficinas Administrativas Subdelegacionales y Tienda</t>
  </si>
  <si>
    <t>Álvaro Ochoa Toledo / Corina Judith Orozco Velasco</t>
  </si>
  <si>
    <t>José López Arias</t>
  </si>
  <si>
    <t>Almacenes Unidos de México, S.A. de C.V. / Enrique González Díaz Sánchez</t>
  </si>
  <si>
    <t>Elvira Toscano Camacho</t>
  </si>
  <si>
    <t>Jesús Rocha Salcedo y Bertha Alicia García de Rocha</t>
  </si>
  <si>
    <t>Michoacán</t>
  </si>
  <si>
    <t>Tienda No.27</t>
  </si>
  <si>
    <t>Maria Ygnacia Eloísa Sandoval López</t>
  </si>
  <si>
    <t>Jorge Alejandro Paz Garibay</t>
  </si>
  <si>
    <t>José Ascensión Orihuela Carmona</t>
  </si>
  <si>
    <t>José Antonio, José Luis, Alejandro y Manuel Hugo del Río Peña. /  R.L. Alejandro del Río Peña</t>
  </si>
  <si>
    <t>José Luis Estrada Verduzco y Martha Arcelia Estrada Verduzco</t>
  </si>
  <si>
    <t xml:space="preserve">Bodega de Bienes Embargados </t>
  </si>
  <si>
    <t>Archivo de Concentración</t>
  </si>
  <si>
    <t>Otoniel Guerrero de León</t>
  </si>
  <si>
    <t>Morelos</t>
  </si>
  <si>
    <t>Unidad de Medicina Familiar Nº. 15</t>
  </si>
  <si>
    <t>Unidad de Medicina Familiar Nº. 19</t>
  </si>
  <si>
    <t>Tienda IMSS-SNTSS</t>
  </si>
  <si>
    <t>Filiberto Gutiérrez Marmolejo</t>
  </si>
  <si>
    <t>Conaflo Comercializadora, S.C. de R.L. / Francisco Navarrete Conde</t>
  </si>
  <si>
    <t>Nayarit</t>
  </si>
  <si>
    <t>Celia Contreras Vargas y Luis Alberto Rodríguez Arias</t>
  </si>
  <si>
    <t>Unidad de Medicina Familiar Nº. 37</t>
  </si>
  <si>
    <t xml:space="preserve">Centro de Seguridad Social </t>
  </si>
  <si>
    <t>Norte D.F.</t>
  </si>
  <si>
    <t>Nuevo León</t>
  </si>
  <si>
    <t xml:space="preserve">Bodega Bienes Embargados </t>
  </si>
  <si>
    <t>Margarita Nava Salazar</t>
  </si>
  <si>
    <t>Desarrollos Huinala S.A. de C.V.  /  R.L. Hugo Ismael Chapa Gamboa Francisco Javier Elizondo Sepúlveda y Olga Pineda Garza de Elizondo</t>
  </si>
  <si>
    <t>Dora Martha Martínez Alanís  /  Samuel Guillermo Scott Holohlavsky</t>
  </si>
  <si>
    <t>Oaxaca</t>
  </si>
  <si>
    <t>Unidad de Medicina Familiar Nº. 40</t>
  </si>
  <si>
    <t>Unidad de Medicina Familiar Nº. 57</t>
  </si>
  <si>
    <t>Guardería  Nº. 01</t>
  </si>
  <si>
    <t>Consultorios CFE</t>
  </si>
  <si>
    <t>Bilgai de Jesus Ramírez Pereda</t>
  </si>
  <si>
    <t>Guadalupe Servandina Arango Vallejo</t>
  </si>
  <si>
    <t>Ramón, Manuel y Sonia Yessica Dojaque Bourget / Ramón Dojaque Bourget</t>
  </si>
  <si>
    <t>Virginia Magdalena García Sánchez</t>
  </si>
  <si>
    <t>Carmen Eduarda Martínez Cruz</t>
  </si>
  <si>
    <t>Pablo de Jesús Anaud Carreño (Albacea Testamentario) Apoderado Legal Raúl Javier Arnaud Carreño</t>
  </si>
  <si>
    <t>Jorge Loyo Senties y Olga Senties viuda de Loyo</t>
  </si>
  <si>
    <t>Hugo Castillejos Varela</t>
  </si>
  <si>
    <t>Inmobiliaria Cubas y Carlin S.A. /  María Eugenia del Carmen Cubas Carlin</t>
  </si>
  <si>
    <t>Octavio Pérez Cristóbal y Alicia Meza de Pérez</t>
  </si>
  <si>
    <t>Efraín Alavés Bustamante</t>
  </si>
  <si>
    <t>Faustino Díaz Huergo</t>
  </si>
  <si>
    <t>Roombus Inmobiliaria S.A. de C.V. / Administrador Único Soledad Sara Castro Ruíz</t>
  </si>
  <si>
    <t>Puebla</t>
  </si>
  <si>
    <t>Unidad de Medicina Familiar Nº. 13</t>
  </si>
  <si>
    <t>Unidad de Medicina Familiar Nº. 18</t>
  </si>
  <si>
    <t>Unidad de Medicina Familiar Nº. 34</t>
  </si>
  <si>
    <t>Unidad de Medicina Familiar Nº. 46</t>
  </si>
  <si>
    <t>María Guadalupe Ortiz Guzmán</t>
  </si>
  <si>
    <t xml:space="preserve">María Julieta Osorno Pérez </t>
  </si>
  <si>
    <t>Oscar Miguel Puig Hernández</t>
  </si>
  <si>
    <t>Imelda Guadalupe Arvizu Arellano</t>
  </si>
  <si>
    <t xml:space="preserve">Luis Enrique Mateos Ortega o Luis Enrique Mateos y Ortega </t>
  </si>
  <si>
    <t>Querétaro</t>
  </si>
  <si>
    <t>Oficinas Administrativas Delegacionales (Jefatura de Finanzas)</t>
  </si>
  <si>
    <t>Oficinas Administrativas Delegacionales (Contraloría Interna)</t>
  </si>
  <si>
    <t>Oficinas Administrativas Delegacionales (Prestaciones Médicas)</t>
  </si>
  <si>
    <t>Jorge Efraín Gomez Eichelmann</t>
  </si>
  <si>
    <t>Jose Miguel Pérez Reséndiz, Dolores Cabrera Osornio, Representante Legal</t>
  </si>
  <si>
    <t>Jose Alejandro Yáñez Nieto</t>
  </si>
  <si>
    <t>Municipio de Querétaro, Representado por Miguel Antonio Parrodi Espinosa Síndico Municipal e Isaac Jiménez Herrera Secretario de Administración.</t>
  </si>
  <si>
    <t>Beatriz Ramírez Romero</t>
  </si>
  <si>
    <t>Quintana Roo</t>
  </si>
  <si>
    <t>Unidad de Medicina Familiar No. 6</t>
  </si>
  <si>
    <t xml:space="preserve">Tienda </t>
  </si>
  <si>
    <t>Gobierno del Estado de Quintana Roo /  Víctor Manuel Viveros Salazar</t>
  </si>
  <si>
    <t>Aida María Angulo Elías</t>
  </si>
  <si>
    <t>San Luis Potosí</t>
  </si>
  <si>
    <t>Unidad de Medicina Familiar Nº. 8</t>
  </si>
  <si>
    <t>Patricio Cerda Alanís</t>
  </si>
  <si>
    <t xml:space="preserve">Jesús Romo Valenzuela </t>
  </si>
  <si>
    <t>Sinaloa</t>
  </si>
  <si>
    <t>Consultorio Medico</t>
  </si>
  <si>
    <t>Unidad de Medicina Familiar No. 50</t>
  </si>
  <si>
    <t>Gerardo Brambila Rojo</t>
  </si>
  <si>
    <t>Julio Antonio Oropeza Sánchez</t>
  </si>
  <si>
    <t>Carlos Perezgómez Martínez</t>
  </si>
  <si>
    <t>Rosa Elvia Verdugo Burgos Representante / Ramona Beltrán Hernández, José Rodolfo Labrada Beltrán, Manuel de Jesús Labrada Verdugo, Francisco Mario Labrada Verdugo y Francisco Labrada Beltrán</t>
  </si>
  <si>
    <t>Beatriz del Carmen Careaga Hays</t>
  </si>
  <si>
    <t>Bodega de Bienes Embargados de la Subdelegación</t>
  </si>
  <si>
    <t>Terreno (Salida de Emergencia Guardería)</t>
  </si>
  <si>
    <t>Iván de Jesús Clouthieer / Marco Antonio Clouther Escobar</t>
  </si>
  <si>
    <t>Sonora</t>
  </si>
  <si>
    <t>Unidad de Medicina Familiar Nº. 2</t>
  </si>
  <si>
    <t>Unidad de Medicina Familiar Nº 26</t>
  </si>
  <si>
    <t>Unidad de Medicina Familiar N° 67</t>
  </si>
  <si>
    <t>Centro de Seguridad Social y Bodega de Bienes Embargados</t>
  </si>
  <si>
    <t>Inmuebles Laca, S.A. de C.V. / Juan Antonio Ángel Laso Carreño</t>
  </si>
  <si>
    <t>Cruz Jorge Córdova Murrieta</t>
  </si>
  <si>
    <t xml:space="preserve">Cruz Moramay Bermudez Gaviño                </t>
  </si>
  <si>
    <t>Corporativo Inmuebles Dabdoub, S.A. de C.V. / Martha Lorena Jaime Aguirre</t>
  </si>
  <si>
    <t>Claudia Gabriela Aguilar Báez</t>
  </si>
  <si>
    <t>Xenia Kevin González Ríos</t>
  </si>
  <si>
    <t>Parque Industrial de Nogales, S.A. de R.L. / Antonio García Villaseñor</t>
  </si>
  <si>
    <t>Julio Ramón Luebbert Duarte</t>
  </si>
  <si>
    <t>Ana Aguirre Gutiérrez</t>
  </si>
  <si>
    <t>Consuelo Arufe de Gálvez. /  Jaime Gálvez Tapia</t>
  </si>
  <si>
    <t>Inmobiliaria Nidan, S.A. de C.V. / Norma Inclán Quiroga de Montoya</t>
  </si>
  <si>
    <t>Jaime Frutos Frías. / Jesús Alberto Ibáñez Rodriguez</t>
  </si>
  <si>
    <t>Eneyda Alcira Acosta Cazares</t>
  </si>
  <si>
    <t>Almacén de Bienes de Grupos Diversos</t>
  </si>
  <si>
    <t>Centro de Atención Inmediata para Casos Especiales (CAICE)</t>
  </si>
  <si>
    <t xml:space="preserve"> Francisco Ramírez Ibarra</t>
  </si>
  <si>
    <t>Guillermo y Héctor Manuel Aello Valenzuela</t>
  </si>
  <si>
    <t>Víctor Manuel Ruíz García</t>
  </si>
  <si>
    <t>Maria del Carmen Pascual López</t>
  </si>
  <si>
    <t>Tamaulipas</t>
  </si>
  <si>
    <t>Unidad de Medicina Familiar Nº. 12</t>
  </si>
  <si>
    <t>Unidad de Medicina Familiar Nº. 21</t>
  </si>
  <si>
    <t>Unidad de Medicina Familiar Nº.  30</t>
  </si>
  <si>
    <t>Leticia Borjón Avila</t>
  </si>
  <si>
    <t>Armando Mario Flores García</t>
  </si>
  <si>
    <t>Olga Inés Guerra González</t>
  </si>
  <si>
    <t>Susana Segura Castillo</t>
  </si>
  <si>
    <t>Francisco de Jesús Campos Sedas, Cipriano Navarro Maya</t>
  </si>
  <si>
    <t xml:space="preserve">Alma Gloria Longoria Gutiérrez </t>
  </si>
  <si>
    <t>Lucia Jáuregui Scott Viuda De Medina</t>
  </si>
  <si>
    <t>Humberto Mario Garza Uribe</t>
  </si>
  <si>
    <t>Ana Patricia González Lozano Representante Legal, Esther Patricia Lozano Briones</t>
  </si>
  <si>
    <t>Eduardo Cantú Galván, Francisco Javier Cantú Elías</t>
  </si>
  <si>
    <t>Tlaxcala</t>
  </si>
  <si>
    <t>Olivia Velasco Simbrón</t>
  </si>
  <si>
    <t>Leticia Yazmin González Carrera</t>
  </si>
  <si>
    <t>Veracruz Norte</t>
  </si>
  <si>
    <t>Unidad de Medicina Familiar Nº. 19 (Ampliación)</t>
  </si>
  <si>
    <t>Unidad de Medicina Familiar No. 29</t>
  </si>
  <si>
    <t>Isaac R. Hernández Moreno</t>
  </si>
  <si>
    <t>Abacuc Alfredo Becerra Rivera. María del Carmen Becerra Ramírez, Representante Legal.</t>
  </si>
  <si>
    <t>Marco Antonio Gamino Jaimes</t>
  </si>
  <si>
    <t>Jose Luis Poceros Domínguez</t>
  </si>
  <si>
    <t>Laura Del Carmen Velázquez Parra. / Lauro Vicente Velázquez Cruz, Representante Legal.</t>
  </si>
  <si>
    <t>Ramiro Jesús y Félix Gerardo Cavazos Tamez</t>
  </si>
  <si>
    <t>Arturo de Jesús Moguel Bouchez / Arturo Moguel Arreola y Gloria  E. Bouchez de Moguel, Representantes Legales</t>
  </si>
  <si>
    <t>Desarrollos Creativos S.A. de C.V. Justo Fernández Avila Representante Legal</t>
  </si>
  <si>
    <t>Celina Lobato Diego</t>
  </si>
  <si>
    <t>Eduardo Tello González</t>
  </si>
  <si>
    <t>José Luis Poceros Domínguez</t>
  </si>
  <si>
    <t>Veracruz Sur</t>
  </si>
  <si>
    <t>Unidad de Medicina Familiar Nº. 26</t>
  </si>
  <si>
    <t>Unidad de Medicina Familiar Nº. 53</t>
  </si>
  <si>
    <t>Unidad de Medicina Familiar Nº. 58</t>
  </si>
  <si>
    <t>Unidad de Medicina Familiar Nº. 65</t>
  </si>
  <si>
    <t>Unidad de Medicina Familiar (Auxiliar)</t>
  </si>
  <si>
    <t>Gudelia Cervantes Rico, Iván  Palafox Cervantes Representante Legal.</t>
  </si>
  <si>
    <t xml:space="preserve">Alejandro Roche Errasquin y Adrián Roche Errasquin / Representante Legal  Carmen Errasquin Colt </t>
  </si>
  <si>
    <t>Salvador Amado Tenorio Najera presentante Legal Maria de los Ángeles Domínguez  Flores</t>
  </si>
  <si>
    <t>Araceli Croda Hernández.</t>
  </si>
  <si>
    <t>Laura del Carmen Fuente Amora, Emilio Fuente Amora, Socorro Amora Roji, Usufructuario Emilio Fuente Miseferi</t>
  </si>
  <si>
    <t>Agapito Alemán Roubler</t>
  </si>
  <si>
    <t>Elba del C. Bravo Herrera</t>
  </si>
  <si>
    <t>Carlos Manuel Wong Yong</t>
  </si>
  <si>
    <t>Humberto Trueba López</t>
  </si>
  <si>
    <t>Laura del Carmen Fuente Amora, Emilio Fuente Amora, Socorro Amora Roji</t>
  </si>
  <si>
    <t>Zacatecas</t>
  </si>
  <si>
    <t xml:space="preserve">Sindicato Nacional de Trabajadores del Seguro Social Sección XXIX </t>
  </si>
  <si>
    <t>Raymundo Campos Olivares</t>
  </si>
  <si>
    <t>María Cruz Gómez Carrillo</t>
  </si>
  <si>
    <t>Guadalupe Eugenia Monreal Maldonado</t>
  </si>
  <si>
    <t>Sindicato Nacional de Trabajadores del Seguro Social Sección XXIX Dr. Salvador Castillo Martínez Representante Legal.</t>
  </si>
  <si>
    <t>Ma. Rubén Murillo Sánchez</t>
  </si>
  <si>
    <t>Luis Garza Verastegui</t>
  </si>
  <si>
    <t>Jorge Armando López Cuellar</t>
  </si>
  <si>
    <t>Nivel Central</t>
  </si>
  <si>
    <t>Raíces T. Montiel / Eduardo Cojab Farca Administrador Único</t>
  </si>
  <si>
    <t>Raíces Hamburgo / Eduardo Cojab Farca Administrador Único</t>
  </si>
  <si>
    <t>Grupo Quantum C&amp;C, S.A. de C.V. / Apoderado Legal José Cojab Saba</t>
  </si>
  <si>
    <t>María Elena Guerrero Medellín</t>
  </si>
  <si>
    <t>Sur D.F.</t>
  </si>
  <si>
    <t>01-ABR-17</t>
  </si>
  <si>
    <t>1500.00
3300.00</t>
  </si>
  <si>
    <t>Comisariado Ejidal del Ejido Nacionalista de Sánchez Taboada / Raymundo Carrillo Huerta, Sergio Mercado Galindo y Trinidad Calderón Huerta</t>
  </si>
  <si>
    <t>Alencastre y Bicentenario S.A. de C.V./Salomón Ambe Romano</t>
  </si>
  <si>
    <t>Arturo Mendel Gruenebaum</t>
  </si>
  <si>
    <t>Anabella del Socorro Guzmán Guzmán y Salvador Sánchez Gómez</t>
  </si>
  <si>
    <t>Armando Carrasco Sanchez, Jose Alberto Carrasco Sanchez y Mariana Carrasco Sanchez/ Representante Legal Armando Carrasco Sanchez</t>
  </si>
  <si>
    <t>Blanca Guadalupe González Nevarez</t>
  </si>
  <si>
    <t>Elba Lilia Sandoval Aguilar</t>
  </si>
  <si>
    <t>Josefina Partida Rojo</t>
  </si>
  <si>
    <t>Francisco Gaitan Facio</t>
  </si>
  <si>
    <t>Karkri S.A. de C.V./ Cristóbal Torne Ochoa</t>
  </si>
  <si>
    <t>Maria Elena Soto Cruz</t>
  </si>
  <si>
    <t>Bodega de Bienes Instituciones para Disposición Final</t>
  </si>
  <si>
    <t>Leticia Mireya Ramírez Floriano</t>
  </si>
  <si>
    <t>Oscar Anguiano Pérez</t>
  </si>
  <si>
    <t>Opción Fiduciaria, Sociedad Anónima de Capital Variable, Sociedad Financiera de Objeto Múltiple, Entidad No Regulada, Fiduciaria del Fideicomiso 27/2013 / Alex Simje Sacal Cababie</t>
  </si>
  <si>
    <t>01-OCT-17</t>
  </si>
  <si>
    <t>Almacén Delegacional, Oficinas de la Coordinación Delegacional, Bodega de Bienes Embargados y Archivo de Concentración y Bajas</t>
  </si>
  <si>
    <t xml:space="preserve">Archivo de Concentración y Oficina de Servicios Generales </t>
  </si>
  <si>
    <t>Almacen Delegacional</t>
  </si>
  <si>
    <t>Domicilio Conocido, San Jerónimo, Colonia Centro, Pueblo Nuevo, Durango</t>
  </si>
  <si>
    <t>Puesto de Enfermería No. 77</t>
  </si>
  <si>
    <t>Consultorios Médicos. Extensión Unidad de la Medicina Familiar Nº. 49</t>
  </si>
  <si>
    <t>Tienda No. 21</t>
  </si>
  <si>
    <t>Almacen de diversos, Archivo de Concentración y Bienes Embargados</t>
  </si>
  <si>
    <t>Guardería</t>
  </si>
  <si>
    <t>Unidad de Medicina Familiar Nº. 30</t>
  </si>
  <si>
    <t>Unidad de Atención Primaria a la Salud N°. 133</t>
  </si>
  <si>
    <t>Unidad de Atención Primaria a la Salud N°. 134</t>
  </si>
  <si>
    <t>Unidad de Atención Primaria a la Salud N°. 135</t>
  </si>
  <si>
    <t>Unidad de Atención Primaria a la Salud N°. 136</t>
  </si>
  <si>
    <t>Unidad de Atención Primaria a la Salud N°. 137</t>
  </si>
  <si>
    <t>Unidad de Atención Primaria a la Salud N°. 155</t>
  </si>
  <si>
    <t>Unidad de Atención Primaria a la Salud N°. 165</t>
  </si>
  <si>
    <t>Bodega de Bienes Embargados y del Cátalogo de Archivos Originales (CAO)</t>
  </si>
  <si>
    <t xml:space="preserve">Bodega de Bienes Embargados y Archivo Muerto del Hospital General de Zona Nº. 6 </t>
  </si>
  <si>
    <t>Unidad de Medicina Familiar N°. 52</t>
  </si>
  <si>
    <t>Consultorio Médico</t>
  </si>
  <si>
    <t>Oficinas Administrativas Subdelegacionales.</t>
  </si>
  <si>
    <t>01-ENE-18</t>
  </si>
  <si>
    <t>Unidad de Medicina Familiar Nº. 66 y Ampliación</t>
  </si>
  <si>
    <t>Consultorio de Unidad Medica</t>
  </si>
  <si>
    <t>Boulevard Lázaro Cárdenas No. 2209-C, Colonia Plutarco Elías Calles Deleg. Gonzalez Ortega C.P 21379, Mexicali, Baja California</t>
  </si>
  <si>
    <t>´6.77%</t>
  </si>
  <si>
    <t>LAI. Prscila Jácome Sampieri</t>
  </si>
  <si>
    <t>16-MAR-18</t>
  </si>
  <si>
    <t>Construcciones y Fomento Comercial S.A. / Luis Ortíz Rios Representante Legal</t>
  </si>
  <si>
    <t xml:space="preserve">Bodega de Bienes Embargados Y Archivo del Hospital General de Zona No. 21. </t>
  </si>
  <si>
    <t>´6.77</t>
  </si>
  <si>
    <t>Rosalinda Rivera Wong</t>
  </si>
  <si>
    <t>José Carlos Mora Aguirre</t>
  </si>
  <si>
    <t>Acela Susana Anzaldo Romero</t>
  </si>
  <si>
    <t>Maricarmen Reyes Espinosa</t>
  </si>
  <si>
    <t>´34.97%</t>
  </si>
  <si>
    <t>Emeterio Carlón López /
Sara Antonieta Acosta Nuñez</t>
  </si>
  <si>
    <t>Arcadio Audelo Beltrán / María Dolores Edeza Corrales. Albacea</t>
  </si>
  <si>
    <t>María del Refugio Beltran Munguia</t>
  </si>
  <si>
    <t>01-SEP-08</t>
  </si>
  <si>
    <t>Promotora Rubio, S.A. de C.V. / Blanca de Jesus Rivas García</t>
  </si>
  <si>
    <t>Asociación de Periodistas de Ciudad Juárez A. C. / Karen Emilia Villarreal Rodríguez</t>
  </si>
  <si>
    <t>Benjamin Farca Misrahy</t>
  </si>
  <si>
    <t>Fincas Urbanas CAJEME S.A. de C.V.</t>
  </si>
  <si>
    <t>16-JUN-18</t>
  </si>
  <si>
    <t>María Guadalupe Ramírez Villalobos y Efren Moreno Olivares / Representante Adalberto Moreno Olivares</t>
  </si>
  <si>
    <t>Mi Plaza Administradora Capital Sociedad Anonima Promotora de Inversión Capital de C.V. / Representante Legal Lic. Guillermo Rodolfo Cano de Pau</t>
  </si>
  <si>
    <t>Avenida Calzada Veracruz No. 247, Colonia Adolfo López Mateos, C.P. 77010, Othon Puente Blanco, Chetumal, Quintana Roo</t>
  </si>
  <si>
    <t>Victoria Noemi Canto Chacón / Manuel Jesús Conde Medina</t>
  </si>
  <si>
    <t>´01-AGO-18</t>
  </si>
  <si>
    <t>´53.42%</t>
  </si>
  <si>
    <t>´43.97%</t>
  </si>
  <si>
    <t>´60.06%</t>
  </si>
  <si>
    <t>Oficinas Administrativas auxiliares Subdelegacionales</t>
  </si>
  <si>
    <t>Oficinas Administrativas Delegacionales (Jefatura de Prestaciones Médicas, Coordinación de Atención y Orientación al Derechohabiente, y Coordinación de Calidad y Competitividad)</t>
  </si>
  <si>
    <t>Oficinas Administrativas Nivel Central</t>
  </si>
  <si>
    <t>Oficinas Administrativas Delegacionales (Sede)</t>
  </si>
  <si>
    <t>Oficinas Administrativas Delegacionales (Departamento de Construcción y Planeación Inmobiliaria, Órgano Interno de Control, Auditoría, Queja y Responsabilidades, Oficina de Seguridad y Resguardo, Coordinación de Competitividad, Departamento de relaciones laborales y Departamento de Capacitación y Transparencia)</t>
  </si>
  <si>
    <t>Oficinas Administrativas Delegacionales (Jefatura de Servicios Jurídicos)</t>
  </si>
  <si>
    <t>Oficinas Administrativas Delegacionales (Jefatura Prestaciones Médicas y Coordinación Medica Delegacional)</t>
  </si>
  <si>
    <t>Oficinas Administrativas Delegacionales (Conservación, Jefatura 8, Seguridad en el Trabajo, Departamento de Guarderías, Coordinación de Competitividad y Calidad, Departamento de Relaciones Laborales)</t>
  </si>
  <si>
    <t>Oficinas Administrativas Delegacionales (Departamento de Construcción y Planeación Inmobiliaria)</t>
  </si>
  <si>
    <t>Oficinas Administrativas Delegacionales (Área de Servicios Generales, Personal y Capacitación)</t>
  </si>
  <si>
    <t>Oficinas Administrativas (Auditoría, Queja y Responsabilidades)</t>
  </si>
  <si>
    <t>Archivo de Catálogos y Oficinas Administrativas (Coordinación de Calidad y Competitividad)</t>
  </si>
  <si>
    <t>Oficinas Administrativas Subdelegacionales No. 6 y Oficinas Delegacionales por 2,500.00 m2 (Diversas áreas)</t>
  </si>
  <si>
    <t>Oficinas Administrativas Subdelegacionales No.9 y Oficinas Delegacionales por 5,419.25 m2. (Diversas áreas)</t>
  </si>
  <si>
    <t>Almacén Delegacional y Oficinas Administrativas de Abastecimiento y Equipamiento</t>
  </si>
  <si>
    <t>Almacén Delegacional  (Bienes Terapéuticos) y Coordinación de Abastecimiento</t>
  </si>
  <si>
    <t>Almacén Delegacional (Bienes de Laboratorio y Lácteos )</t>
  </si>
  <si>
    <t>Bodega de Abastecimiento del Hospital General de Zona Nº. 20 y Bodega de Bienes Embargados</t>
  </si>
  <si>
    <t>Bodega de Bienes en Dación de Pago</t>
  </si>
  <si>
    <t>´46.19%</t>
  </si>
  <si>
    <t>´15.9%</t>
  </si>
  <si>
    <t>´42.29%</t>
  </si>
  <si>
    <t>´68.35%</t>
  </si>
  <si>
    <t>Inmobiliaria Saldar S.A de C.V / Representante Legal C.P. Juan Manuel Carvajal Sayas</t>
  </si>
  <si>
    <t>29-NOV-17</t>
  </si>
  <si>
    <t>Juan Javier Castillo Sauceda</t>
  </si>
  <si>
    <t>´26.68%</t>
  </si>
  <si>
    <t>´22.45%</t>
  </si>
  <si>
    <t>Boulevard Venustiano Carranza No. 205, Colonia San Miguel, C.P. 37235, León, Guanajuato</t>
  </si>
  <si>
    <t>01-OCT-18</t>
  </si>
  <si>
    <t>José Rodolfo Gabriel Miramón Roldán</t>
  </si>
  <si>
    <t>16-OCT-18</t>
  </si>
  <si>
    <t>01-DIC-18</t>
  </si>
  <si>
    <t>Calle Ecuador No. 205, Planta Baja, Colonia Las Americas, C.P. 20230, Aguascalientes</t>
  </si>
  <si>
    <t>Calle Ecuador No. 205, Planta Alta, Colonia Las Americas, C.P. 20230, Aguascalientes</t>
  </si>
  <si>
    <t>Calle Carolina Villanueva N° 314, Ciudad Industrial, C.P. 20290, Aguascalientes</t>
  </si>
  <si>
    <t>Calle Aquiles Serdán y Plaza Comunitario, Locales 1, 2 y 3, Colonia Ejercito Nacionalista Ciudad Maneadero, C.P. 22790, Ensenada, Baja California</t>
  </si>
  <si>
    <t>Avenida Gastelum y Calle 14 Nos. 1408 y 1415, Colonia Sección Primera, C.P. 22880, Ensenada, Baja California</t>
  </si>
  <si>
    <t>Calle Ignacio Allende No. 1135, esquina Félix Ortega y Marcelo Rubio Ruíz, Colonia Centro, C.P. 23000, La Paz, Baja California Sur</t>
  </si>
  <si>
    <t>Avenida Constituyentes de 1975 No. 4120, esquina Algodón, Fraccionamiento Capullo, Sector Inapala, C.P. 23098, La Paz, Baja California Sur</t>
  </si>
  <si>
    <t>Boulevard Tecnológico No. 1810, Colonia Guaymitas, C.P. 23407, San José del Cabo, Baja California Sur</t>
  </si>
  <si>
    <t>Calle Valentín Gómez Farías No. 166, entre Republica y Manuel Torre Iglesias, Colonia Esterito, C.P. 23060, La Paz, Baja California Sur</t>
  </si>
  <si>
    <t>Oficinas Administrativas Auxiliares Subdelegacionales</t>
  </si>
  <si>
    <t>Calle Román Cepeda No. 314, Zona Centro, C.P. 25350, Arteaga, Coahuila</t>
  </si>
  <si>
    <t>Boulevard Constitución, esquina Calle Jiménez, Zona Centro, C.P. 27080, Torreón, Coahuila</t>
  </si>
  <si>
    <t>Boulevard Isidro López Zertuche No. 2791-B, Colonia Universidad, C.P. 25260, Saltillo, Coahuila</t>
  </si>
  <si>
    <t>Boulevard Independencia y Calle Leona Vicario S/N, C.P. 27000, Torreón, Coahuila</t>
  </si>
  <si>
    <t>Boulevard Benito Juárez No. 523, Colonia Roma, C.P. 25000, Monclova, Coahuila</t>
  </si>
  <si>
    <t>Calle Egipto esquina José Sarmiento S/N, Fraccionamiento Virreyes Obrera, C.P. 25220, Saltillo, Coahuila</t>
  </si>
  <si>
    <t>Avenida López Mateos No. 1009, Colonia Roma, C.P. 26020, Piedras Negras, Coahuila</t>
  </si>
  <si>
    <t>Avenida de los Maestros No. 324, Colonia Huertas del Sol, C.P. 28050, Colima, Colima</t>
  </si>
  <si>
    <t>Calle 5 de Mayo No. 33, Colonia Centro, C.P. 28100, Tecomán, Colima</t>
  </si>
  <si>
    <t>Calle Lic. Gustavo Díaz Ordaz No. 120, Colonia El Moralete, C.P. 28060, Colima, Colima</t>
  </si>
  <si>
    <t>5a. Avenida Oriente S/N Colonia Los Manguitos, antes Calzada a La Ciudad Deportiva S/N, "Panchón Contreras", C.P. 29010, Tuxtla Gutiérrez, Chiapas</t>
  </si>
  <si>
    <t>11a. Calle Poniente No. 8-A, Zona Centro, C.P. 30700, Tapachula, Chiapas</t>
  </si>
  <si>
    <t>Segunda Calle Oriente y Séptima Avenida Sur No. 12, Colonia Centro, C.P. 30700, Tapachula, Chiapas</t>
  </si>
  <si>
    <t>Calle Central Sur  No. 1989, Colonia San Francisco, C.P. 29000, Tuxtla Gutiérrez, Chiapas</t>
  </si>
  <si>
    <t>Avenida Carlos Maciel No. 119, Fraccionamiento Santos (San Roque), C.P. 29040, Tuxtla Gutiérrez, Chiapas</t>
  </si>
  <si>
    <t>Calle Niño Obrero N°. 319, Colonia Ciudad Industrial, C.P. 63173, Tepic, Nayarit</t>
  </si>
  <si>
    <t>Km. 178 de la Carretera Central, Colonia Centro, C.P. 67865, San Rafael Galeana, Nuevo León</t>
  </si>
  <si>
    <t>Avenida Benito Juárez  N°. 2000,  Fraccionamiento La Hacienda, C.P. 67150, Guadalupe, Nuevo León</t>
  </si>
  <si>
    <t>Capitán Alfonso de León No. 002, Colonia Centro, C.P. 67500, Montemorelos, Nuevo León</t>
  </si>
  <si>
    <t>Carretera a Huinala No. 100, Colonia Ex Hacienda de la Encarnación, C.P. 66633, Apodaca, Nuevo León</t>
  </si>
  <si>
    <t>Calle La Rioja N°. 1013, Fraccionamiento Residencial La Española, C.P. 64820, Monterrey, Nuevo León</t>
  </si>
  <si>
    <t>Carretera Ciudad Alemán-Oaxaca Km 176.5, Colonia Barrio Asunción, C.P. 68725, Ixtlán de Juárez, Oaxaca</t>
  </si>
  <si>
    <t>Avenida Hidalgo No. 1404, esquina González Ortega, Colonia Centro, C.P. 68000, Oaxaca, Oaxaca</t>
  </si>
  <si>
    <t>Avenida Juárez Nº. 515,Colonia Centro, C.P. 68000, Oaxaca, Oaxaca</t>
  </si>
  <si>
    <t>Calzada Porfirio Díaz Nº. 803, Colonia Reforma, C.P. 68050, Oaxaca, Oaxaca</t>
  </si>
  <si>
    <t>Calle Armenta y  López Nº. 821 Colonia Centro, C.P. 68000, Oaxaca, Oaxaca</t>
  </si>
  <si>
    <t>Avenida 5 de Mayo Nº. 1298, Tuxtepec, C.P. 68300, Oaxaca, Oaxaca</t>
  </si>
  <si>
    <t>Calle Reforma No. 905, Colonia Centro, C.P. 68000, Oaxaca, Oaxaca</t>
  </si>
  <si>
    <t>Calle Arista Nº. 185,Colonia Centro, CP. 68300, Tuxtepec, Oaxaca</t>
  </si>
  <si>
    <t>Avenida Morelos Nº. 21, Colonia Centro, C.P. 69800, Asunción Tlaxiaco, Oaxaca</t>
  </si>
  <si>
    <t>Avenida Hidalgo Nº. 307, Colonia Centro, C.P. 71980, Puerto Escondido, Oaxaca</t>
  </si>
  <si>
    <t>Calle Murguía Nº. 509 esquina Libres, Colonia Centro, C.P. 68000, Oaxaca, Oaxaca</t>
  </si>
  <si>
    <t>Calle Melchor Ocampo No. 30 Barrio del Calvario Nochitlán, C.P. 69600, Oaxaca, Oaxaca</t>
  </si>
  <si>
    <t>Avenida 1° de Mayo Nº. 237, Colonia Centro, C.P. 73200, Nuevo Necaxa, Puebla</t>
  </si>
  <si>
    <t>Avenida Manuel Ávila Camacho Nº. 1102 esquina con Calle 11 Sur, Colonia Centro, C.P. 74200, Atlixco, Puebla</t>
  </si>
  <si>
    <t>Avenida Revolución No. 5, Colonia Centro, Tlatlauquitepec, C.P. 73900, Puebla, Puebla</t>
  </si>
  <si>
    <t>Calle Avenida 7 Poniente 114-B, Colonia Centro, C.P. 72760, San Pedro Cholula, Puebla</t>
  </si>
  <si>
    <t>Avenida Benito Juárez Nº. 28, Colonia Centro Plaza Puig Locales 6-13, 18-26, 28 y 29, C.P. 74400, Izucar de Matamoros, Puebla</t>
  </si>
  <si>
    <t>Calle 4 Norte No. 120, Colonia Ignacio Zaragoza, C.P. 75770, Tehuacán, Puebla</t>
  </si>
  <si>
    <t>Calle 3 Sur Nº. 2108, Colonia El Carmen, C.P. 72530, Puebla, Puebla</t>
  </si>
  <si>
    <t>Avenida Melchor Ocampo Poniente No. 3, Colonia Independencia, C.P. 76220, Santa Rosa Jáuregui, Querétaro</t>
  </si>
  <si>
    <t>Calle Fernando Loyola No. 101, Despachos 7 y 8, Fraccionamiento "San Angel", C.P. 76030, Querétaro, Querétaro</t>
  </si>
  <si>
    <t>Calle Fernando Loyola No. 101, Despacho 3, Fraccionamiento "San Ángel", C.P. 76030, Querétaro, Querétaro</t>
  </si>
  <si>
    <t>Hacienda La Tortuga No. 122 Int. 1,2,4 y 5 Colonia El Jacal, C.P. 76180, Querétaro, Querétaro</t>
  </si>
  <si>
    <t>Calle Pino Suárez Sur Nº. 97, Colonia Ramos Millán, C.P. 76807, San Juan del Rio, Querétaro</t>
  </si>
  <si>
    <t>Calle Artículo 27 Constitucional  Nº. 9, Colonia Casa Blanca, C.P. 76030, Querétaro, Querétaro</t>
  </si>
  <si>
    <t>Calle 27 de Septiembre No. 31-A, Zona Centro, C.P. 76800, San Juan del Río, Querétaro</t>
  </si>
  <si>
    <t>Calle  61 Nº. 476, entre Calle 66 Y 68, Colonia Centro, C.P. 7720, Felipe Carrillo Puerto, Quintana Roo</t>
  </si>
  <si>
    <t>Avenida Carmen Ochoa de Merino, Nº. 149, Colonia Centro, C.P. 77000, Municipio de Othón y Puente Blanco, Chetumal, Quintana Roo</t>
  </si>
  <si>
    <t>Calle Luis Noyola Barragan No. 9 C, Zona Centro, C.P. 79320, Ciudad del Maíz, San Luis Potosí</t>
  </si>
  <si>
    <t>Matamoros No. 300, Colonia Centro, C.P. 79610, Matehuala, San Luis Potosí</t>
  </si>
  <si>
    <t>Calle 5 de Mayo Nº. 107 Locales 23 y 25,Colonia Centro, C.P. 79610, Río Verde, San Luis Potosí</t>
  </si>
  <si>
    <t>Calle Benito Juárez y Avenida  Rosales, Colonia Centro, C.P. 81910, Sinaloa de Leyva, Sinaloa</t>
  </si>
  <si>
    <t>Calle de la Amistad Nos.1168, 1170, 1172 y 1174, Colonia Centro, C.P. 82000, Mazatlán, Sinaloa</t>
  </si>
  <si>
    <t>Calle Ignacio Zaragoza Nº. 956 Sur, esquina Bienestar y Nezahualcóyotl, Avenida Bienestar Locales 4 y 5, C.P. 81200, Los Mochis, Sinaloa</t>
  </si>
  <si>
    <t>Boulevard Francisco I. Madero Oriente No. 526, Colonia Centro, C.P. 80200, Culiacán, Sinaloa</t>
  </si>
  <si>
    <t>Calle Blas Valenzuela Nº.20, esquina  Avenida Ignacio Zaragoza,  Colonia Centro, C.P. 81000, Guasave, Sinaloa</t>
  </si>
  <si>
    <t>Calle Rio Ameca Nº. 1533, Fraccionamiento Los Pinos, C.P. 80128, Culiacán, Sinaloa</t>
  </si>
  <si>
    <t>Calle Independencia Nº. 2049 Poniente, Colonia Centro, C.P. 81248, Los Mochis, Sinaloa</t>
  </si>
  <si>
    <t>Calle Rio Ameca Nº. 1533-A,  entre  Pascual Orozco y Lerdo de Tejada, Colonia Los Pinos, C.P. 80128, Culiacán, Sinaloa</t>
  </si>
  <si>
    <t>Secofi No. 2865, Colonia Condesa, C.P. 80020, Culiacán, Sinaloa</t>
  </si>
  <si>
    <t>Calle Ruperto L. Paliza N°. 168 Norte, Colonia Centro, C.P. 80000, Culiacán, Sinaloa</t>
  </si>
  <si>
    <t>Calle 14 de Abril y Alberto Gutiérrez Nº. 287, Colonia Balderrama, C.P. 83180, Hermosillo, Sonora</t>
  </si>
  <si>
    <t>Calle Zaragoza y Libertas S/N, Colonia Centro, C.P. 83960, Pitiquito, Sonora</t>
  </si>
  <si>
    <t xml:space="preserve">Carretera Huatabampo Adyacente a la Calle Principal, Colonia Centro, C.P. 82252, Yavaros, Sonora </t>
  </si>
  <si>
    <t>Calle Jalisco y 300 Nº. 2250, Locales 11, 12, 13 y 24, Colonia Municipio Libre, C.P. 85000, Ciudad Obregón, Sonora</t>
  </si>
  <si>
    <t>Calle Tabasco 851 y 855 Sur, Colonia Centro, C.P. 85000, Ciudad Obregón, Sonora</t>
  </si>
  <si>
    <t>Calle 10 S/N entre Avenida 19 y 20, Colonia Centro, C.P. 84200, Agua Prieta, Sonora</t>
  </si>
  <si>
    <t>Carretera Internacional Km. 6.5 Nº. 13, Parque Industrial de Nogales, C.P. 84200, Nogales, Sonora</t>
  </si>
  <si>
    <t>Calle Jalisco No. 202 Norte, esquina con Allende, Colonia Centro, C.P. 85000, Ciudad Obregón, Sonora</t>
  </si>
  <si>
    <t>Carretera Internacional Km. 6.5 Nº. 271 3a, Parque Industrial de Nogales, C.P. 84200, Nogales, Sonora</t>
  </si>
  <si>
    <t>Avenida Aquiles Serdán Nº. 75, Locales 8, 9, 11 y 13, Colonia Centro, C.P. 85400, Guaymas, Sonora</t>
  </si>
  <si>
    <t>Avenida Abasolo Nº. 902 esquina Calle Otero, Colonia Centro, C.P. 85800, Navojoa, Sonora</t>
  </si>
  <si>
    <t>Calle Segunda y Avenida 19 Nº. 1899, Colonia Centro, C.P. 84200, Agua Prieta, Sonora</t>
  </si>
  <si>
    <t>Calle 14 de Abril Nº. 287 y Alberto Gutiérrez, Fraccionamiento Balderrama, C.P. 83180, Hermosillo, Sonora</t>
  </si>
  <si>
    <t>Calle 5 de Febrero Nº. 805 esquina con Avenida Allende, Colonia Centro, C.P. 85000, Ciudad Obregón, Sonora</t>
  </si>
  <si>
    <t>Carretera al Varadero Km. 2.5, Fraccionamiento Las Playitas, C.P. 85400, Guaymas, Sonora</t>
  </si>
  <si>
    <t>Mariano Jiménez No. 746 entre Guelatao y 5 de Mayo, Colonia Centro, C.P. 85820, Navojoa, Sonora</t>
  </si>
  <si>
    <t>Calle Talleres, Lote 17, Mz. XI, Nº. 2147, Parque Industrial, C.P. 85000, Cajeme Ciudad Obregón, Sonora</t>
  </si>
  <si>
    <t>Calle Salamanca entre Cedros y Cartonerano 101, Colonia Amapolas, C.P.  83020, Hermosillo, Sonora</t>
  </si>
  <si>
    <t>Calle Benito Juárez No. 175 esquina León Guzmán, Colonia Constitución, C.P. 83150, Hermosillo, Sonora</t>
  </si>
  <si>
    <t>Calle Mina S/N, Zona Centro, C.P. 87555, Estación Ramírez, Tamaulipas</t>
  </si>
  <si>
    <t>Calle Hidalgo Nº. 1103, Zona Centro, C.P. 88370, Ciudad Guerrero, Tamaulipas</t>
  </si>
  <si>
    <t>Calle Eulalio González Nº. 1004, Colonia Centro, C.P. 88390, Ciudad Mier, Tamaulipas</t>
  </si>
  <si>
    <t>Calle Independencia Nº. 313 Zona Centro, C.P. 89670, Villa de Aldama, Tamaulipas</t>
  </si>
  <si>
    <t>Calle Pablo A. Gutiérrez S/N, Zona Centro, C.P. 89110, Cuauhtémoc Ver, Tamaulipas</t>
  </si>
  <si>
    <t>Avenida Mil Cumbres Nº. 350, Planta Baja y Alta, Colonia Mil Cumbres, C.P. 88740, Reynosa, Tamaulipas</t>
  </si>
  <si>
    <t>Avenida Álvaro Obregón  Nº. 238 Planta Baja y Pisos 1º y 2º, Colonia Jardín, C.P. 87330, Matamoros, Tamaulipas</t>
  </si>
  <si>
    <t>Calle Vicente Guerrero N° 510, Colonia Laguna de la Puerta, C.P. 89310, Tampico, Tamaulipas</t>
  </si>
  <si>
    <t>Calle Diaz Mirón Nº. 604, Zona Centro, C.P. 89000, Tampico, Tamaulipas</t>
  </si>
  <si>
    <t>Avenida Juárez No. 75-B San Esteban Tizatlán, Colonia Centro, C.P. 90062, Tlaxcala, Tlaxcala</t>
  </si>
  <si>
    <t>Calle 6 Nº. 1710, Colonia Xicoténcatl, C.P. 90062, Tlaxcala, Tlaxcala</t>
  </si>
  <si>
    <t>Calle Libertad  Nº. 47, Colonia Centro, C.P. 91300, Banderilla, Veracruz Norte</t>
  </si>
  <si>
    <t>Calle 16 de Septiembre No. 90, Colonia Centro, C.P. 93660 Jalacingo, Veracruz Norte</t>
  </si>
  <si>
    <t>Calle Balderas esquina Ursulo Galván Nº. 45, Colonia Centro, C.P. 91000, Xalapa, Veracruz Norte</t>
  </si>
  <si>
    <t>Avenida Melchor Ocampo esquina Aldama, Zona Centro, C.P. 93600, Martínez de la Torre, Veracruz Norte</t>
  </si>
  <si>
    <t>Boulevard Adolfo Ruíz Cortínez esquina Sinaloa S/N, Colonia México, C.P. 93310, Poza Rica, Veracruz Norte</t>
  </si>
  <si>
    <t>Calle Sebastián Camacho Nº. 46, esquina José María Morelos, Colonia Centro, C.P. 91000, Xalapa, Veracruz Norte</t>
  </si>
  <si>
    <t>Avenida Insurgentes Nº 138, Colonia Centro, C.P. 91000, Xalapa, Veracruz Norte</t>
  </si>
  <si>
    <t>Melchor Ocampo N°. 4-302 Colonia Centro, C.P. 92800, Tuxpan, Veracruz Norte</t>
  </si>
  <si>
    <t>Calle Azueta No. 207, Colonia Centro, C.P. 91000, Xalapa, Veracruz Norte</t>
  </si>
  <si>
    <t>Calle Ursulo Galván Nº. 49 (Antes 51), Colonia Centro, C.P. 91000, Xalapa, Veracruz Norte</t>
  </si>
  <si>
    <t>Avenida República esquina Canoa 2, Lote 6, Manzana 3, Colonia Centro, C.P. 94929, Providencia, Veracruz Sur</t>
  </si>
  <si>
    <t>Calle Ogarrio Nº. 315, Colonia Cuatro Caminos, C.P. 96660, Agua Dulce, Veracruz Sur</t>
  </si>
  <si>
    <t>Avenida Independencia Nº.901, Colonia Libertad Congreso Allende, C.P. 96380, Coatzacoalcos, Veracruz Sur</t>
  </si>
  <si>
    <t>Calle Lerdo de Tejada Nº. 706, Colonia Centro, C.P. 96950, Jesús Carranza, Veracruz Sur</t>
  </si>
  <si>
    <t>Calle Oriente 2 Nº. 227, Colonia Centro, C.P. 94300, Orizaba, Veracruz Sur</t>
  </si>
  <si>
    <t>Avenida Ejercito Nacional Nº. 36, Colonia Centro, C.P. 96700, Minatitlán, Veracruz Sur</t>
  </si>
  <si>
    <t>Oficinas Administrativas</t>
  </si>
  <si>
    <t>Calle Independencia No. 1409, Colonia Luis Echeverria, C.P. 95110, Tierra Blanca, Veracruz Sur</t>
  </si>
  <si>
    <t>Calle Francisco I. Madero No. 203 entre Belisario y Ruiz Cortínez, Colonia Centro, C.P. 95400, Cosamaloapan, Veracruz Sur</t>
  </si>
  <si>
    <t>Prolongación de Justo Sierra S/N Colonia Nueva Mina,C.P. 96760, Minatitlán, Veracruz Sur</t>
  </si>
  <si>
    <t>Calle Francisco I. Madero No.407, Colonia Centro, C.P. 94300, Orizaba, Veracruz Sur</t>
  </si>
  <si>
    <t>Calle Vicente Guerrero Nº. 29, Colonia Barrio Nuevo, C.P. 94340, Orizaba, Veracruz Sur</t>
  </si>
  <si>
    <t>Calle Chepinque No. 108-A, Colonia Lomas de la Soledad, C.P. 98040, Zacatecas, Zacatecas</t>
  </si>
  <si>
    <t>Calle Sonora Nº.  222 Zona Centro, C.P. 99000, Fresnillo, Zacatecas</t>
  </si>
  <si>
    <t>Calle Hidalgo N°. 31, Zona Centro, C.P. 96420, Rio Grande, Zacatecas</t>
  </si>
  <si>
    <t>Calle J. Jesús González Ortega S/N Barrio de la Pila, C.P. 94104, Sombrerete, Zacatecas</t>
  </si>
  <si>
    <t>Calle Constitución N°. 102, Colonia Lomas de la Soledad, C.P 98040, Zacatecas, Zacatecas</t>
  </si>
  <si>
    <t>01-DIC-17</t>
  </si>
  <si>
    <t>Calle Carretones Nº. 10 y San Pablo Nº. 31, Colonia Merced, C.P. 06090, México, D.F. Norte</t>
  </si>
  <si>
    <t>Calle Benito Juárez No. 97, Colonia Centro, C.P. 31150, San Francisco del Oro, Chihuahua</t>
  </si>
  <si>
    <t>Avenida Álvaro Obregón S/N Colonia Centro, Municipio de Ascención, C.P. 31820, Rodrigo de Quevedo, Chihuahua</t>
  </si>
  <si>
    <t>Avenida 14 Poniente No. 700, Colonia Sector Poniente, C.P. 33000, Ciudad Delicias, Chihuahua</t>
  </si>
  <si>
    <t>Avenida Henry Dunant No. 4508, Zona Pronaf, C.P. 32315, Ciudad Juárez, Chihuahua</t>
  </si>
  <si>
    <t>Avenida Tecnológico No. 343, Colonia Barrio Lerdo, C.P. 31520, Ciudad Cuauhtémoc, Chihuahua</t>
  </si>
  <si>
    <t>Calle Pedro de Lille No. 3, Colonia Centro, C.P. 33890, Hidalgo del Parral, Chihuahua</t>
  </si>
  <si>
    <t>Avenida Fernando Baeza No. 206, Sector Oriente, C.P. 33000, Ciudad Delicias, Chihuahua</t>
  </si>
  <si>
    <t>Calle 21 Nº. 1109, Colonia Santo Niño,, C.P. 31150, Chihuahua, Chihuahua</t>
  </si>
  <si>
    <t>Calle General Rosalio Hernández Nº. 21 y Ferrocarriles Nacionales de México, C.P. 31150, Chihuahua, Chihuahua</t>
  </si>
  <si>
    <t>Calle Privada Santa Rosa  Nºs. 21 y 23, C.P. 31150, Chihuahua, Chihuahua</t>
  </si>
  <si>
    <t>Calle 53 A N°. 5 Colonia Arquitectos, C.P. 31350, Chihuahua, Chihuahua</t>
  </si>
  <si>
    <t>Calle Sierra Mohinora Nº. 6011, Fraccionamiento La Cuesta, C.P. 32650, Ciudad Juárez, Chihuahua</t>
  </si>
  <si>
    <t>Avenida Antonio Ortiz Mena S/N, Colonia Centro, C.P. 33800, Hidalgo del Parral, Chihuahua</t>
  </si>
  <si>
    <t>Calle Privada Santa Rosa  Nº 19, Colonia Centro, C.P. 31150, Chihuahua, Chihuahua</t>
  </si>
  <si>
    <t>Calle Morelos N°. 106, Colonia  Refugio, C.P. 34800, Villa Unión, Durango</t>
  </si>
  <si>
    <t>Calle Morelos N°. 416 Oriente, Colonia Centro, C.P. 35800, Cuencame, Durango</t>
  </si>
  <si>
    <t>Avenida Allende No. 31, Colonia Centro, C.P. 35700, Nazas, Durango</t>
  </si>
  <si>
    <t>Carretera al Mezquital, No. 219, Fraccionamiento Real del Mezquital, C.P. 34199, Durango,Durango</t>
  </si>
  <si>
    <t>Boulevard Francisco Villa esquina Avenida Mercurio, Colonia Centro, C.P. 34229, Durango, Durango</t>
  </si>
  <si>
    <t>Calle Leandro Fernandez S/N. Colonia en Nombre de Dios, Nombre de Dios, C.P. 34840, Durango, Durango</t>
  </si>
  <si>
    <t>Avenida Miguel Hidalgo No. 110 Sur, Colonia Centro, C.P. 35000, Gómez Palacio, Durango</t>
  </si>
  <si>
    <t>Calle Juárez N° 104 Sur, Planta Baja,  Mezzanine y Pisos 1°, 2° y 3º, Colonia Centro, C.P. 34000, Durango, Durango</t>
  </si>
  <si>
    <t>Calle Juárez No. 77, Zona Centro, C.P. 35590, Santa María del Oro, Durango</t>
  </si>
  <si>
    <t>Calle Juárez N° 403  Oriente esquina con Allende Pisos 1º, 2º, 3º y 4º, Colonia Centro, C.P. 35000, Gómez Palacio, Durango</t>
  </si>
  <si>
    <t>Calle Circuito Central N°  240, Parque Industrial Lagunero, C.P. 35078, Gómez Palacio, Durango</t>
  </si>
  <si>
    <t>Calle 4 Nº. 25,  1er. piso, 2° piso, 3er. piso y Planta Comercial,   Fraccionamiento Industrial Alce Blanco, Naucalpan, C.P. 53370, Estado de México Oriente</t>
  </si>
  <si>
    <t>Calle Urawa Nº 121, Toluca, Colonia Progreso, C.P. 50150, Estado de México Poniente</t>
  </si>
  <si>
    <t>Calle Rayón S/N. Colonia Centro, Villa Guerrero, C.P. 51760, Estado de México Poniente</t>
  </si>
  <si>
    <t>Calle San Pablo No. 117, Colonia San Antonio, Valle de Bravo, C.P. 51200, Estado de México Poniente</t>
  </si>
  <si>
    <t>Calle Josefa Ortiz de Domínguez Nº. 210 Sur, Barrio San Sebastián, C.P. 50090, Toluca, Estado de México Poniente</t>
  </si>
  <si>
    <t>Calle Ricardo Flores Magón Nº. 102 A y B, C.P. 52004, Lerma, Estado de México Poniente</t>
  </si>
  <si>
    <t>José María Pino Suárez No. 202, Col. Santa Clara, C.P. 50090, Toluca, Estado de México Poniente</t>
  </si>
  <si>
    <t>Calle Francisco  I. Madero Nº. 40, El Carmen Totoltepec, C.P. 50245, Metepec, Estado de México Poniente</t>
  </si>
  <si>
    <t>Calle Atlacomulco No. 500 entre San Andrés Atoto, Colonia Industrial Atoto, C.P. 53510, Naucalpan, Estado de México Poniente</t>
  </si>
  <si>
    <t>Boulevard Adolfo López Mateos Poniente, No. 406, Zona Centro, C.P. 38000, Celaya, Guanajuato</t>
  </si>
  <si>
    <t>Calle Paseo de Guanajuato N° 110, Colonia Jardines de Celaya, Primera Sección, C.P. 38080, Celaya, Guanajuato</t>
  </si>
  <si>
    <t>Calle Aldama Nº. 321-B, Zona Centro, C.P. 36700, Salamanca, Guanajuato</t>
  </si>
  <si>
    <t>Calle Aztecas N°.  107, Colonia Parque Central, Zona Centro, C.P. 38000, Celaya, Guanajuato</t>
  </si>
  <si>
    <t>Calle Francisco Eduardo Tres Guerra N°. 735 (171), Zona Centro, C.P. 36500, Irapuato, Guanajuato</t>
  </si>
  <si>
    <t>Calle Privada Rodolfo Gaona S/N, Colonia El Olivar, C.P. 38070, Celaya, Guanajuato</t>
  </si>
  <si>
    <t>Carretera Guanajuato Juventino Rosas Km. 5+570 Bajos, Jalapa de Mineral De Marfil, C.P. 36251, Guanajuato</t>
  </si>
  <si>
    <t>Calle Estocolmo Nº. 404, Colonia Andrade, C.P. 37020, León, Guanajuato</t>
  </si>
  <si>
    <t>Costado de Carretera a Ayutla Municipio Juan R. Escudero, C.P. 39840, Tierra Colorada, Guerrero</t>
  </si>
  <si>
    <t>Ignacio Allende No. 4 Colonia Centro, C.P. 40930, Atoyac de Álvarez, Guerrero</t>
  </si>
  <si>
    <t>Calle Vicente Suárez S/N, Colonia Petacalco, Municipio La Unión de Isidoro, Montes de Oca Suárez, C.P. 40811, Petacalco, Guerrero</t>
  </si>
  <si>
    <t>Calle Cuauhtémoc Nº. 11, Colonia Centro, C.P. 40400, Teloloapan, Guerrero</t>
  </si>
  <si>
    <t>Lote 11 Manzana 1, Súper Manzana XXVI, Colonia Centro, C.P. 40880, Zihuatanejo, Guerrero</t>
  </si>
  <si>
    <t>Lote 5, Manzana 14, Avenida Paseo de Zihuatanejo Poniente Nº. 5, Colonia El Limón, C.P. 40880, Zihuatanejo, Guerrero</t>
  </si>
  <si>
    <t>Carretera Tlapa-Marquelia (o Amapola), esquina Calle Sin Nombre, Colonia San Nicolás (Aviación), C.P. 41300, Tlapa de Comonfort, Guerrero</t>
  </si>
  <si>
    <t>Calle Lázaro Cárdenas Nº. 107, Colonia del Villar, C.P. 43604, Tulancingo, Hidalgo</t>
  </si>
  <si>
    <t>Calle Francisco I. Madero No. 295, Colonia Centro, C.P. 46900, Mascota, Jalisco</t>
  </si>
  <si>
    <t>Calle Negrete  N°. 129, Colonia Centro, C.P. 47900, Jamay, Jalisco</t>
  </si>
  <si>
    <t>Calle Javier Mina  Nº. 28, Colonia Centro, C.P. 49120, Gómez Farías, Jalisco</t>
  </si>
  <si>
    <t>Avenida Jesús María No. 80, Colonia Centro, C.P. 47950, Jesús María, Jalisco</t>
  </si>
  <si>
    <t>Calle Manuel Martínez Tinajero No. 611, Colonia Mascota, C.P. 47860, Ocotlán, Jalisco</t>
  </si>
  <si>
    <t>Calle Emeterio Jiménez N°. 9, Colonia Centro, C.P. 46350, San Martín Bolaños, Jalisco</t>
  </si>
  <si>
    <t>Calle Guanajuato N°. 92, Colonia Centro, C.P. 49541, Valle de Juárez, Jalisco</t>
  </si>
  <si>
    <t>Calle Guadalupe Victoria S/N, Colonia Centro, C.P. 47540, Ojuelos, Jalisco</t>
  </si>
  <si>
    <t>Calle 5 de Mayo S/N, Colonia Centro, C.P. 47690,  San Diego de Alejandría, Jalisco</t>
  </si>
  <si>
    <t>Calle Prolongación 5 de Mayo No. 9, Colonia El Tepeyac, C.P. 47574, Unión de San Antonio, Jalisco</t>
  </si>
  <si>
    <t>Calle Florentino Martin No. 177, Colonia San Juan Bosco, C.P. 47380, Valle de Guadalupe, Jalisco</t>
  </si>
  <si>
    <t>Calle Allende Nº. 36, Colonia Centro, C.P. 47250, Villa Hidalgo, Jalisco</t>
  </si>
  <si>
    <t>Calle Privada J. Isabel Valdivia Nº. 1, esquina Flavio Romero, Colonia Centro, C.P. 47300, Cañadas de Obregón, Jalisco</t>
  </si>
  <si>
    <t>Calle Hidalgo N°. 73,  Colonia Centro, C.P. 46560, San Juanito de Escobedo, Jalisco</t>
  </si>
  <si>
    <t>Calle Ramón Corona N°.  363, Colonia Centro, C.P. 49400, Tizapan El Alto, Jalisco</t>
  </si>
  <si>
    <t>Calle Reforma No. 160, Colonia Centro, C.P. 47930, Degollado, Jalisco</t>
  </si>
  <si>
    <t>Calle San Felipe N°.  1066, Sector Hidalgo, C.P. 44200, Guadalajara, Jalisco</t>
  </si>
  <si>
    <t>Avenida Juan Pablo II No. 55, Colonia El Capullo, C.P. 45150, Zapopan, Jalisco</t>
  </si>
  <si>
    <t>Calle Moctezuma N°.  655, Colonia La Florida, C.P. 47800, Ocotlán, Jalisco</t>
  </si>
  <si>
    <t>Calzada Independencia N°. 580, Sector Libertad, Colonia La Perla, C.P. 44360, Guadalajara, Jalisco</t>
  </si>
  <si>
    <t>Calle Matamoros N°. 516, Colonia Centro, C.P. 47650, Tepatitlán, Jalisco</t>
  </si>
  <si>
    <t>Calle Cristóbal Colon N°. 750, Colonia Centro, C.P. 49000, Ciudad Guzmán, Jalisco</t>
  </si>
  <si>
    <t>Avenida 20 de Noviembre Nº 330, Colonia Centro El Pitillal, C.P. 48290, Puerto Vallarta, Jalisco</t>
  </si>
  <si>
    <t>Calle Periférico Sur N°. 8000, Colonia Santa María Tequepexpan, C.P. 45601, Tlaquepaque, Guadalajara, Jalisco</t>
  </si>
  <si>
    <t>Calle Analco N°. 204 Sector Reforma, Colonia Analco, C.P. 44360, Guadalajara, Jalisco</t>
  </si>
  <si>
    <t>Calle Lerdo de Tejada N°. 172, Colonia Centro, C.P. 47800, Ocotlán, Jalisco</t>
  </si>
  <si>
    <t>Calle Chiapas esquina Francisco Sarabia Nº. 93 Interior 113, Colonia Centro, C.P. 60500,  Uruapan, Michoacán</t>
  </si>
  <si>
    <t>Calle Pino Suárez Sur No. 44,Colonia Centro, C.P. 59600, Zamora, Michoacán</t>
  </si>
  <si>
    <t>Calle Madero Poniente Nº. 4028, esquina Calle Sin Nombre del Fraccionamiento Hacienda San Diego, C.P. 58111, Morelia, Michoacán</t>
  </si>
  <si>
    <t>Batalla de la Angostura esquina Artilleros del 47, No. 457 Colonia Chapultepec, C.P. 58260,  Morelia, Michoacán</t>
  </si>
  <si>
    <t>Calle Reforma Nº. 1 Colonia Casasano, C.P. 62748, Cuautla, Morelos</t>
  </si>
  <si>
    <t>Calle Paraíso Nº. 24, Colonia Barrio de San Miguel, C.P. 62520, Tepoztlán, Morelos</t>
  </si>
  <si>
    <t>Avenida Morelos Sur No. 137, Local Interior 6, Colonia Las Palmas, C.P. 62050, Cuernavaca, Morelos</t>
  </si>
  <si>
    <t>Hada Carmen Samblancat Pérez Viuda de Fernández / Maria Ana Fernández Samblancat</t>
  </si>
  <si>
    <t>Tienda No. 20 y Bodega de Bienes Embargados</t>
  </si>
  <si>
    <t>CANCELACIÓN</t>
  </si>
  <si>
    <t>Alejandra Patricia Godoy Lugo</t>
  </si>
  <si>
    <t>Calle Nebulosa No. 10, Colonia Puerta del Sol, C.P. 45380, Amatitan, Jalisco</t>
  </si>
  <si>
    <t>Calle Hidalgo N°. 45, Colonia Centro, C.P. 45350, Arenal, Jalisco</t>
  </si>
  <si>
    <t>Calle Hidalgo No. 10, Colonia Centro, C.P. 49820,  Atenquique, Jalisco</t>
  </si>
  <si>
    <t xml:space="preserve">Avenida González Gallo S/N 9, Colonia Chapala Centro, C.P. 45900, Chapala, Jalisco </t>
  </si>
  <si>
    <t>Calle  Vicente Guerrero No. 875, Colonia La Asunción, C.P. 45550, Tlaquepaque, Jalisco</t>
  </si>
  <si>
    <t>Calle Ramón Corona N°. 55, Colonia Centro, C.P. 45700, Acatlán de Juárez</t>
  </si>
  <si>
    <t>Calle Mariano Bárcenas y Privada Veracruz, Sector Hidalgo, C.P. 44280, Guadalajara, Jalisco</t>
  </si>
  <si>
    <t>Calle Allende  N°. 97, Colonia Centro, C.P. 47300, Yahualica de González, Jalisco</t>
  </si>
  <si>
    <t>Calle Presidente Cárdenas No. 197 Oriente, Zona Centro, C.P. 25000, Saltillo, Coahuila</t>
  </si>
  <si>
    <t>Boulevard Oscar Flores Sánchez Nº. 2250, Colonia Jardines de San Jose, C.P. 32695, Ciudad Juárez, Chihuahua</t>
  </si>
  <si>
    <t>Calle Hombres Ilustres Nº. 910, Colonia Centro, C.P. 70300, Matías Romero, Oaxaca</t>
  </si>
  <si>
    <t>Calle Azucenas esquina Dalias, Colonia Centro, C.P. 69000,  Huajuapan de León, Oaxaca</t>
  </si>
  <si>
    <t>Avenida Francisco I. Madero Poniente N° 14,003, Colonia Tacícuaro, C.P. 58332, Tacícuaro, Michoacán</t>
  </si>
  <si>
    <t>Libramiento Oscar Flores Tapía (Antes López Portillo) No. 226, 228 230 y Antigua Carretera Arteaga, C.P. 25350, Coahuila</t>
  </si>
  <si>
    <t>Libramiento Sur de Tapachula de Córdova y Ordoñez Km 4+000, Colonia Parque Industrial Los Mangos, C.P. 30796, Tapachula, Chiapas</t>
  </si>
  <si>
    <t>Calle Tiburcio Montiel N° 15, Colonia San Miguel Chapultepec, C.P. 11850, Alcaldía Miguel Hidalgo, Nivel Central.</t>
  </si>
  <si>
    <t>Calle Río Pánuco N° 224, Colonia Cuauhtémoc, C.P. 06500, Alcaldía Cuauhtémoc, Nivel Central.</t>
  </si>
  <si>
    <t>Calle Hamburgo N° 18, Colonia Juárez, C.P. 06600, Alcaldía Cuauhtémoc, Nivel Central.</t>
  </si>
  <si>
    <t>Avenida Revolución No.1586, Colonia San Ángel, C.P. 01000, Alcaldía Álvaro Obregón, Nivel Central.</t>
  </si>
  <si>
    <t>15-JUN-18</t>
  </si>
  <si>
    <t>15-ABR-18</t>
  </si>
  <si>
    <t>Última Justipreciación Secuencial o Genérico</t>
  </si>
  <si>
    <t>A-3360-D-HMO
A-3602-D-HMO</t>
  </si>
  <si>
    <t>21-OCT-08</t>
  </si>
  <si>
    <t>$2,287.00 
$5,035.00
TOTAL
$7,322.00</t>
  </si>
  <si>
    <t>A-5522-HMO</t>
  </si>
  <si>
    <t>22-MAR-10</t>
  </si>
  <si>
    <t>A-5692-HMO</t>
  </si>
  <si>
    <t>25-MAY-11</t>
  </si>
  <si>
    <t>24-JUN-16</t>
  </si>
  <si>
    <t>01-13-449</t>
  </si>
  <si>
    <t>22-AGO-13</t>
  </si>
  <si>
    <t>01-13-1959</t>
  </si>
  <si>
    <t>27-DIC-13</t>
  </si>
  <si>
    <t>04-JUL-18</t>
  </si>
  <si>
    <t>A-6774-H-VSA</t>
  </si>
  <si>
    <t>13-OCT-10</t>
  </si>
  <si>
    <t>A-10062-VSA</t>
  </si>
  <si>
    <t>12-DIC-05</t>
  </si>
  <si>
    <t>EA-1001485</t>
  </si>
  <si>
    <t>14-ENE-15</t>
  </si>
  <si>
    <t>07-12-2651</t>
  </si>
  <si>
    <t>24-SEP-12</t>
  </si>
  <si>
    <t>A-10077-VSA</t>
  </si>
  <si>
    <t>07-FEB-06</t>
  </si>
  <si>
    <t>A-10539-VSA-</t>
  </si>
  <si>
    <t>23-MAR-11</t>
  </si>
  <si>
    <t>A-4907-G-HMO</t>
  </si>
  <si>
    <t>31-OCT-09</t>
  </si>
  <si>
    <t>21-ENE-09</t>
  </si>
  <si>
    <t>A-5296-B-HMO</t>
  </si>
  <si>
    <t>28-MAR-08</t>
  </si>
  <si>
    <t>A-5072-F-HMO</t>
  </si>
  <si>
    <t>01-09-0979</t>
  </si>
  <si>
    <t>04-NOV-09</t>
  </si>
  <si>
    <t>A-5687-HMO</t>
  </si>
  <si>
    <t>13-SEP-11</t>
  </si>
  <si>
    <t>A-5703-HMO</t>
  </si>
  <si>
    <t>EA-1001545</t>
  </si>
  <si>
    <t>05-FEB-15</t>
  </si>
  <si>
    <t>A-4888-F-HMO</t>
  </si>
  <si>
    <t>05-OCT-09</t>
  </si>
  <si>
    <t>A-4731-I-HMO</t>
  </si>
  <si>
    <t>28-MZO-07</t>
  </si>
  <si>
    <t>A-4709-J-HMO</t>
  </si>
  <si>
    <t>05-NOV-07</t>
  </si>
  <si>
    <t>19-OCT-11</t>
  </si>
  <si>
    <t>07-OCT-09</t>
  </si>
  <si>
    <t>01-DIC-09</t>
  </si>
  <si>
    <t>20-ABR-15</t>
  </si>
  <si>
    <t>02-OCT-09</t>
  </si>
  <si>
    <t>14-SEP-10</t>
  </si>
  <si>
    <t>A-8305-D-MTY</t>
  </si>
  <si>
    <t>24-SEP-10</t>
  </si>
  <si>
    <t>A-8891-A-MTY</t>
  </si>
  <si>
    <t>A-8414-D-MTY</t>
  </si>
  <si>
    <t>28-SEP-09</t>
  </si>
  <si>
    <t>02-11-0077</t>
  </si>
  <si>
    <t>15-MZO-11</t>
  </si>
  <si>
    <t>13-OCT-16</t>
  </si>
  <si>
    <t>A-4542-G-GDL</t>
  </si>
  <si>
    <t>15-MAR-11</t>
  </si>
  <si>
    <t>01-14-36</t>
  </si>
  <si>
    <t>16-MAR-14</t>
  </si>
  <si>
    <t>01-14-35</t>
  </si>
  <si>
    <t>06-MAR-14</t>
  </si>
  <si>
    <t>01-14-34</t>
  </si>
  <si>
    <t>01-11-1488</t>
  </si>
  <si>
    <t>14-NOV-11</t>
  </si>
  <si>
    <t>30-JUL-18</t>
  </si>
  <si>
    <t>A-5059-C-HMO</t>
  </si>
  <si>
    <t>18-OCT-06</t>
  </si>
  <si>
    <t>A-5677-HMO</t>
  </si>
  <si>
    <t>11-ABR-11</t>
  </si>
  <si>
    <t>A-4884-K-HMO</t>
  </si>
  <si>
    <t>03-DIC-10</t>
  </si>
  <si>
    <t>10-ENE-17</t>
  </si>
  <si>
    <t>01-11-1487</t>
  </si>
  <si>
    <t>3240</t>
  </si>
  <si>
    <t>20-FEB-15</t>
  </si>
  <si>
    <t>A-19997</t>
  </si>
  <si>
    <t>08-JUL-2008</t>
  </si>
  <si>
    <t>EA-1001671</t>
  </si>
  <si>
    <t>26-MAR-15</t>
  </si>
  <si>
    <t>28-JUL-14</t>
  </si>
  <si>
    <t>A-3372-1-L</t>
  </si>
  <si>
    <t>08-DIC-08</t>
  </si>
  <si>
    <t>09-MAR-17</t>
  </si>
  <si>
    <t>A-18491-A</t>
  </si>
  <si>
    <t>14-ENE-05</t>
  </si>
  <si>
    <t>A-21022</t>
  </si>
  <si>
    <t>15-NOV-11</t>
  </si>
  <si>
    <t>30-AGO-18</t>
  </si>
  <si>
    <t>07-11-1898</t>
  </si>
  <si>
    <t>25-JUL-11</t>
  </si>
  <si>
    <t>A-4072-C</t>
  </si>
  <si>
    <t>10-AGOS-11</t>
  </si>
  <si>
    <t>11-JUN-15</t>
  </si>
  <si>
    <t>07-11-2558</t>
  </si>
  <si>
    <t>29-SEP-11</t>
  </si>
  <si>
    <t>A-2627-F</t>
  </si>
  <si>
    <t>27-JUL-11</t>
  </si>
  <si>
    <t>A-3214-H</t>
  </si>
  <si>
    <t>11-JUL-11</t>
  </si>
  <si>
    <t>A-1720-L</t>
  </si>
  <si>
    <t>28-JUL-11</t>
  </si>
  <si>
    <t>09-ABR-18</t>
  </si>
  <si>
    <t>A-21034</t>
  </si>
  <si>
    <t>06-DIC-11</t>
  </si>
  <si>
    <t>A-19343-A</t>
  </si>
  <si>
    <t>12-NOV-07</t>
  </si>
  <si>
    <t>03-14-3030</t>
  </si>
  <si>
    <t>24-DIC-14</t>
  </si>
  <si>
    <t>A-17578-C</t>
  </si>
  <si>
    <t>29-NOV-05</t>
  </si>
  <si>
    <t>A-20906</t>
  </si>
  <si>
    <t>15-ABR-11</t>
  </si>
  <si>
    <t>11-NOV-15</t>
  </si>
  <si>
    <t>02-12-0117</t>
  </si>
  <si>
    <t>27-MZO-12</t>
  </si>
  <si>
    <t>02-12-0118</t>
  </si>
  <si>
    <t>01-13-1927</t>
  </si>
  <si>
    <t>02-12-0132</t>
  </si>
  <si>
    <t>07-MAR-12</t>
  </si>
  <si>
    <t>02-12-0134</t>
  </si>
  <si>
    <t>27-MAR-12</t>
  </si>
  <si>
    <t>A-2255-B-GDL</t>
  </si>
  <si>
    <t>15-ABR-03</t>
  </si>
  <si>
    <t>02-12-0139</t>
  </si>
  <si>
    <t>02-12-0119</t>
  </si>
  <si>
    <t>02-12-110</t>
  </si>
  <si>
    <t>26-OCT-18</t>
  </si>
  <si>
    <t>02-12-0120</t>
  </si>
  <si>
    <t>02-08-0063</t>
  </si>
  <si>
    <t>26-MZO-08</t>
  </si>
  <si>
    <t>A-4151-D-GDL</t>
  </si>
  <si>
    <t>02-ENE-06</t>
  </si>
  <si>
    <t>16-MZO-12</t>
  </si>
  <si>
    <t>02-MAYO-17</t>
  </si>
  <si>
    <t>02-12-0121</t>
  </si>
  <si>
    <t>16-MAR-10</t>
  </si>
  <si>
    <t>02-12-0142</t>
  </si>
  <si>
    <t>13-MAR-12</t>
  </si>
  <si>
    <t>02-12-143</t>
  </si>
  <si>
    <t>01-MZO-10</t>
  </si>
  <si>
    <t>27-SEP-18</t>
  </si>
  <si>
    <t>29-AGO-18</t>
  </si>
  <si>
    <t>A-176-O-GDL</t>
  </si>
  <si>
    <t>08-FEB-12</t>
  </si>
  <si>
    <t>A-3295-L-GDL</t>
  </si>
  <si>
    <t>13-ABRIL-10</t>
  </si>
  <si>
    <t>24-MZO-10</t>
  </si>
  <si>
    <t>02-12-0137</t>
  </si>
  <si>
    <t>07-MZO-12</t>
  </si>
  <si>
    <t>O2-12-1095</t>
  </si>
  <si>
    <t>02-12-0149</t>
  </si>
  <si>
    <t>21-FEB-12</t>
  </si>
  <si>
    <t>02-12-0102</t>
  </si>
  <si>
    <t>06-MZO-12</t>
  </si>
  <si>
    <t>A-4656-I</t>
  </si>
  <si>
    <t>17-FEB-11</t>
  </si>
  <si>
    <t>02-ABR-18</t>
  </si>
  <si>
    <t>A-3950-H</t>
  </si>
  <si>
    <t>08-MAR-11</t>
  </si>
  <si>
    <t>A-6961-E</t>
  </si>
  <si>
    <t>17-MAR-11</t>
  </si>
  <si>
    <t>21-MAR-14</t>
  </si>
  <si>
    <t>07-08-2674</t>
  </si>
  <si>
    <t>27-NOV-08</t>
  </si>
  <si>
    <t>07-08-2676</t>
  </si>
  <si>
    <t>15-DIC-08</t>
  </si>
  <si>
    <t>22-FEB-17</t>
  </si>
  <si>
    <t>A-5352-GDL</t>
  </si>
  <si>
    <t>04-OCT-11</t>
  </si>
  <si>
    <t>EA-13764-D-2</t>
  </si>
  <si>
    <t>03-18-425</t>
  </si>
  <si>
    <t>10-JUL-18</t>
  </si>
  <si>
    <t xml:space="preserve">EA-1001823 </t>
  </si>
  <si>
    <t>24-JUN-15</t>
  </si>
  <si>
    <t>A-00335-ZNC</t>
  </si>
  <si>
    <t>28-NOV-13</t>
  </si>
  <si>
    <t>03-17-2497</t>
  </si>
  <si>
    <t>05-ABR-18</t>
  </si>
  <si>
    <t>18-ABR-18</t>
  </si>
  <si>
    <t>A-5679-N-MTY</t>
  </si>
  <si>
    <t>09-NOV-09</t>
  </si>
  <si>
    <t>03-11-1237</t>
  </si>
  <si>
    <t>07-DIC-11</t>
  </si>
  <si>
    <t>A-7079-A-VER</t>
  </si>
  <si>
    <t>09-ABR-10</t>
  </si>
  <si>
    <t>05-10-2851</t>
  </si>
  <si>
    <t>10-DIC-10</t>
  </si>
  <si>
    <t>05-10-2959</t>
  </si>
  <si>
    <t>13-DIC-10</t>
  </si>
  <si>
    <t>05-10-2849</t>
  </si>
  <si>
    <t>06-DIC-10</t>
  </si>
  <si>
    <t>05-10-2856</t>
  </si>
  <si>
    <t>05-10-2854</t>
  </si>
  <si>
    <t>30-NOV-10</t>
  </si>
  <si>
    <t>05-10-1829</t>
  </si>
  <si>
    <t>A-5333-J-VER</t>
  </si>
  <si>
    <t>29-NOV-10</t>
  </si>
  <si>
    <t>05-10-2857</t>
  </si>
  <si>
    <t>05-09-2164</t>
  </si>
  <si>
    <t>30-NOV-09</t>
  </si>
  <si>
    <t>05-10-2957</t>
  </si>
  <si>
    <t>A-9255-B-VSA</t>
  </si>
  <si>
    <t>05-10-0415</t>
  </si>
  <si>
    <t>13-ABR-10</t>
  </si>
  <si>
    <t>05-10-1243</t>
  </si>
  <si>
    <t>14-JUL-10</t>
  </si>
  <si>
    <t>A-5685-I-VER</t>
  </si>
  <si>
    <t>20-OCT-11</t>
  </si>
  <si>
    <t>A-3317-1-L-VER</t>
  </si>
  <si>
    <t>21-OCT-11</t>
  </si>
  <si>
    <t>17-SEP-18</t>
  </si>
  <si>
    <t>A-3085-M-VER</t>
  </si>
  <si>
    <t>A-5331-1-J-VER</t>
  </si>
  <si>
    <t>24-OCT-11</t>
  </si>
  <si>
    <t>A-7211-A-VER</t>
  </si>
  <si>
    <t>16-NOV-11</t>
  </si>
  <si>
    <t>A-5977-H-VER</t>
  </si>
  <si>
    <t>14-JUL-11</t>
  </si>
  <si>
    <t>04-09-0123</t>
  </si>
  <si>
    <t>26-MZO-09</t>
  </si>
  <si>
    <t>07-12-0314</t>
  </si>
  <si>
    <t>16-MAR-12</t>
  </si>
  <si>
    <t>31-AGO-15</t>
  </si>
  <si>
    <t>05-MAY-15</t>
  </si>
  <si>
    <t>07-12-0315</t>
  </si>
  <si>
    <t>07-11-1928</t>
  </si>
  <si>
    <t>20-JUL-11</t>
  </si>
  <si>
    <t>A-10522-VSA</t>
  </si>
  <si>
    <t>20-DIC-10</t>
  </si>
  <si>
    <t>19-JUN-18</t>
  </si>
  <si>
    <t>A-10019-B-VSA</t>
  </si>
  <si>
    <t>27-OCT-10</t>
  </si>
  <si>
    <t>A-20984</t>
  </si>
  <si>
    <t>A-2473-F</t>
  </si>
  <si>
    <t>25-NOV-08</t>
  </si>
  <si>
    <t>01-09-1032</t>
  </si>
  <si>
    <t>A-2818-D-HMO</t>
  </si>
  <si>
    <t>31-OCT-07</t>
  </si>
  <si>
    <t>01-12-0057</t>
  </si>
  <si>
    <t>14-FEB-12</t>
  </si>
  <si>
    <t>31-MAY-17</t>
  </si>
  <si>
    <t>16-ENE-15</t>
  </si>
  <si>
    <t>01-12-0081</t>
  </si>
  <si>
    <t>07-FEB-12</t>
  </si>
  <si>
    <t>01-11-1581</t>
  </si>
  <si>
    <t>14-DIC-11</t>
  </si>
  <si>
    <t>01-11-1537</t>
  </si>
  <si>
    <t>25-NOV-11</t>
  </si>
  <si>
    <t>01-11-1583</t>
  </si>
  <si>
    <t>20-MAR-14</t>
  </si>
  <si>
    <t>01-12-0051</t>
  </si>
  <si>
    <t>24-FEB-12</t>
  </si>
  <si>
    <t>01-11-0548</t>
  </si>
  <si>
    <t>04-ABR-11</t>
  </si>
  <si>
    <t>01-09-1083</t>
  </si>
  <si>
    <t>25-NOV-09</t>
  </si>
  <si>
    <t xml:space="preserve"> A-4006-G-HMO</t>
  </si>
  <si>
    <t>08-DIC-09</t>
  </si>
  <si>
    <t>A-4643-2-A-HMO</t>
  </si>
  <si>
    <t>03-JUN-08</t>
  </si>
  <si>
    <t>01-09-1090</t>
  </si>
  <si>
    <t>01-10-1746</t>
  </si>
  <si>
    <t>24-NOV-10</t>
  </si>
  <si>
    <t>01-09-1092</t>
  </si>
  <si>
    <t>05-NOV-09</t>
  </si>
  <si>
    <t>24-NOV-17</t>
  </si>
  <si>
    <t>01-10-0063</t>
  </si>
  <si>
    <t>18-FEB-10</t>
  </si>
  <si>
    <t>01-09-1084</t>
  </si>
  <si>
    <t>29-SEP-09</t>
  </si>
  <si>
    <t>01-09-1096</t>
  </si>
  <si>
    <t>01-11-0553</t>
  </si>
  <si>
    <t>05-ABR-11</t>
  </si>
  <si>
    <t>01-10-0006</t>
  </si>
  <si>
    <t>08-MAR-10</t>
  </si>
  <si>
    <t>01-09-1089</t>
  </si>
  <si>
    <t>29-OCT-09</t>
  </si>
  <si>
    <t>23-MAR-16</t>
  </si>
  <si>
    <t>01-10-1074</t>
  </si>
  <si>
    <t>12-JUL-10</t>
  </si>
  <si>
    <t>01-09-0390</t>
  </si>
  <si>
    <t>16-ABR-09</t>
  </si>
  <si>
    <t>01-10-1187</t>
  </si>
  <si>
    <t>´09-AGO-10</t>
  </si>
  <si>
    <t>03-18-294
03-18-584</t>
  </si>
  <si>
    <t>22-MAY-18
04-SEP-18</t>
  </si>
  <si>
    <t>$2'050,400.00
$313,800.00</t>
  </si>
  <si>
    <t>26-ENE-18</t>
  </si>
  <si>
    <t>03-18-204
03-18-339</t>
  </si>
  <si>
    <t>03-JUL-18</t>
  </si>
  <si>
    <t>$1'290,000.00
$1'363,000.00</t>
  </si>
  <si>
    <t>05-MAY-16</t>
  </si>
  <si>
    <t>07-12-4467</t>
  </si>
  <si>
    <t>14-DIC-12</t>
  </si>
  <si>
    <t>07-12-4469</t>
  </si>
  <si>
    <t>03-DIC-12</t>
  </si>
  <si>
    <t>07-12-4742</t>
  </si>
  <si>
    <t>13-OCT-17</t>
  </si>
  <si>
    <t>02-13-1227</t>
  </si>
  <si>
    <t>07-12-4464</t>
  </si>
  <si>
    <t>31-DIC-12</t>
  </si>
  <si>
    <t>07-12-4475</t>
  </si>
  <si>
    <t>07-12-4738</t>
  </si>
  <si>
    <t>07-FEB-13</t>
  </si>
  <si>
    <t>A-7890-J-1AMTY</t>
  </si>
  <si>
    <t>05-08-0273</t>
  </si>
  <si>
    <t>07-ABR-08</t>
  </si>
  <si>
    <t>04-ABR-18</t>
  </si>
  <si>
    <t>05-10-2791</t>
  </si>
  <si>
    <t>A-4237-G-VER</t>
  </si>
  <si>
    <t>31-ENE-11</t>
  </si>
  <si>
    <t>26-FEB-18</t>
  </si>
  <si>
    <t>A-5611-G-1-VER
05-10-2833</t>
  </si>
  <si>
    <t>12-DIC-11</t>
  </si>
  <si>
    <t>A-7397-VER</t>
  </si>
  <si>
    <t>A-5171-G-VER</t>
  </si>
  <si>
    <t>A-5896-C-VER</t>
  </si>
  <si>
    <t>06-MAY-08</t>
  </si>
  <si>
    <t>28-FEB-11</t>
  </si>
  <si>
    <t>A-6290-G-VER</t>
  </si>
  <si>
    <t>A-6357-D-VER</t>
  </si>
  <si>
    <t>A-7209-VER</t>
  </si>
  <si>
    <t>22-JUN-09</t>
  </si>
  <si>
    <t>05-10-0267</t>
  </si>
  <si>
    <t>´05-09-2211</t>
  </si>
  <si>
    <t>04-DIC-09</t>
  </si>
  <si>
    <t>A-4240-I-VER</t>
  </si>
  <si>
    <t>29-JUN-09</t>
  </si>
  <si>
    <t>A-6370-G-VER</t>
  </si>
  <si>
    <t>22-MAR-11</t>
  </si>
  <si>
    <t>A-8405-C-MTY</t>
  </si>
  <si>
    <t>29-SEP-10</t>
  </si>
  <si>
    <t>A-8048-D-MTY</t>
  </si>
  <si>
    <t>03-10-0939</t>
  </si>
  <si>
    <t>14-OCT-10</t>
  </si>
  <si>
    <t>A-9161-1-MTY</t>
  </si>
  <si>
    <t>José Luis de las Fuentes Cabello</t>
  </si>
  <si>
    <t>Calle Cafetal No. 749, Colonia Granjas México, Alcaldía Iztacalco, C.P. 08400, Ciudad de México, D.F. Sur</t>
  </si>
  <si>
    <t>Calle Mina Nº. 52 Local 2, Colonia Guerrero, Alcaldía Cuauhtémoc, C.P. 06300, México, D.F. Norte</t>
  </si>
  <si>
    <t>Calle Clavel Norte No. 6, Colonia San Pedro Mártir, C.P. 08400, Alcaldía Tlalpan, D.F. Sur</t>
  </si>
  <si>
    <t>Carretera Panamericana Km. 117+500 S/N, Fraccionamiento San Isidro, C.P. 98613, Guadalupe, Zacatecas</t>
  </si>
  <si>
    <t>Carretera Guadalupe Ciudad Cuauhtémoc No. 11, Zona Industrial, C.P. 98604, Guadalupe, Zacatecas</t>
  </si>
  <si>
    <t>Unidad de Información</t>
  </si>
  <si>
    <t>Centro de Costo</t>
  </si>
  <si>
    <t>019101</t>
  </si>
  <si>
    <t>019102</t>
  </si>
  <si>
    <t>015801</t>
  </si>
  <si>
    <t>020201</t>
  </si>
  <si>
    <t>025601</t>
  </si>
  <si>
    <t>029101</t>
  </si>
  <si>
    <t>039001</t>
  </si>
  <si>
    <t>039102</t>
  </si>
  <si>
    <t>039103</t>
  </si>
  <si>
    <t>038002</t>
  </si>
  <si>
    <t>052403</t>
  </si>
  <si>
    <t>052409</t>
  </si>
  <si>
    <t>059001</t>
  </si>
  <si>
    <t>059102</t>
  </si>
  <si>
    <t>055905</t>
  </si>
  <si>
    <t>055901</t>
  </si>
  <si>
    <t>058001</t>
  </si>
  <si>
    <t>058005</t>
  </si>
  <si>
    <t>065801</t>
  </si>
  <si>
    <t>069103</t>
  </si>
  <si>
    <t>065901</t>
  </si>
  <si>
    <t>075401</t>
  </si>
  <si>
    <t>079001</t>
  </si>
  <si>
    <t>075902</t>
  </si>
  <si>
    <t>075901</t>
  </si>
  <si>
    <t>078002</t>
  </si>
  <si>
    <t>079101</t>
  </si>
  <si>
    <t>082435</t>
  </si>
  <si>
    <t>082438</t>
  </si>
  <si>
    <t>082442</t>
  </si>
  <si>
    <t>082408</t>
  </si>
  <si>
    <t>089106</t>
  </si>
  <si>
    <t>089102</t>
  </si>
  <si>
    <t>089107</t>
  </si>
  <si>
    <t>089103</t>
  </si>
  <si>
    <t>085901</t>
  </si>
  <si>
    <t>085905</t>
  </si>
  <si>
    <t>088001</t>
  </si>
  <si>
    <t>088002</t>
  </si>
  <si>
    <t>089105</t>
  </si>
  <si>
    <t>099001</t>
  </si>
  <si>
    <t>14D000</t>
  </si>
  <si>
    <t>050100</t>
  </si>
  <si>
    <t xml:space="preserve">115905 </t>
  </si>
  <si>
    <t xml:space="preserve">118002 </t>
  </si>
  <si>
    <t>119101</t>
  </si>
  <si>
    <t xml:space="preserve">112408 </t>
  </si>
  <si>
    <t xml:space="preserve">119103 </t>
  </si>
  <si>
    <t xml:space="preserve">119104 </t>
  </si>
  <si>
    <t xml:space="preserve">115903 </t>
  </si>
  <si>
    <t xml:space="preserve">115902 </t>
  </si>
  <si>
    <t xml:space="preserve">118101 </t>
  </si>
  <si>
    <t>139001</t>
  </si>
  <si>
    <t>145907                   149102</t>
  </si>
  <si>
    <t>380200 900110</t>
  </si>
  <si>
    <t>149001 149001</t>
  </si>
  <si>
    <t>910100 920201</t>
  </si>
  <si>
    <t>162403</t>
  </si>
  <si>
    <t>162436</t>
  </si>
  <si>
    <t>162430</t>
  </si>
  <si>
    <t>169001</t>
  </si>
  <si>
    <t>169102</t>
  </si>
  <si>
    <t>165901</t>
  </si>
  <si>
    <t>168002</t>
  </si>
  <si>
    <t>169101</t>
  </si>
  <si>
    <t>900110</t>
  </si>
  <si>
    <t>310 203</t>
  </si>
  <si>
    <t>222403</t>
  </si>
  <si>
    <t>200200</t>
  </si>
  <si>
    <t>222423</t>
  </si>
  <si>
    <t>222428</t>
  </si>
  <si>
    <t>225301</t>
  </si>
  <si>
    <t>310203</t>
  </si>
  <si>
    <t>229104</t>
  </si>
  <si>
    <t>229103</t>
  </si>
  <si>
    <t>229001</t>
  </si>
  <si>
    <t>140100</t>
  </si>
  <si>
    <t>225901</t>
  </si>
  <si>
    <t>380200</t>
  </si>
  <si>
    <t xml:space="preserve">239001
</t>
  </si>
  <si>
    <t xml:space="preserve">200100
</t>
  </si>
  <si>
    <t>269102 
269102
269102
268104</t>
  </si>
  <si>
    <t>900110 
380200
900110
150100</t>
  </si>
  <si>
    <t>320200</t>
  </si>
  <si>
    <t>275307 278005</t>
  </si>
  <si>
    <t>310203 920201</t>
  </si>
  <si>
    <t>279106 279106</t>
  </si>
  <si>
    <t>900110 920201</t>
  </si>
  <si>
    <t>090100</t>
  </si>
  <si>
    <t>235802 </t>
  </si>
  <si>
    <t>Mismo importe de renta desde el 2006</t>
  </si>
  <si>
    <t>Decremento en 2010</t>
  </si>
  <si>
    <t>Decremento en 2011</t>
  </si>
  <si>
    <t>Decremento en 2014</t>
  </si>
  <si>
    <t>No ha tenido incremento</t>
  </si>
  <si>
    <t>Decremento   10%</t>
  </si>
  <si>
    <t xml:space="preserve">Decremento 8% </t>
  </si>
  <si>
    <t>Decremento 2.5%</t>
  </si>
  <si>
    <t>Decremento en  2009</t>
  </si>
  <si>
    <t>Decremento 9.5%</t>
  </si>
  <si>
    <t>Decremento 7%</t>
  </si>
  <si>
    <t>Ruth Ramírez Ruíz y Erik Ramirez Ruiz, Gloria Josefina Ruiz Vargas /  Luis Alberto Pérez Ruíz</t>
  </si>
  <si>
    <t>Calle Cozumel N° 43, Colonia Roma Norte, C.P. 06700, Alcaldía Cuauhtémoc, Nivel Central.</t>
  </si>
  <si>
    <t>Calle Bartolomé de las Casas esquina Amado Nervo, Colonia Centro, C.P. 91330, Las Vigas de Ramírez, Veracruz Norte</t>
  </si>
  <si>
    <t xml:space="preserve">Avenida José María La Fragua No. 2100 esquina Dr. Alfredo Iglesias y Avenida Delfino Valenzuela, Fraccionamiento Reforma, C.P. 91919, Veracruz Norte </t>
  </si>
  <si>
    <t>José Daniel Ruíz García</t>
  </si>
  <si>
    <t>16-ABR-19</t>
  </si>
  <si>
    <t>11-ENE-19</t>
  </si>
  <si>
    <t>27-NOV-18</t>
  </si>
  <si>
    <t>Marco Antonio Bernal Beltran</t>
  </si>
  <si>
    <t>´01-FEB-19</t>
  </si>
  <si>
    <t>Avenida Miguel Hidalgo y Costilla Nº. 400 esquina José María Pino Suárez, Colonia 5 de Mayo, C.P. 50090, Toluca, Estado de México Poniente</t>
  </si>
  <si>
    <t>Expomueble Central / Roberto Calvo Rios Velasco</t>
  </si>
  <si>
    <t>Guillermo Armando Ramírez Soto</t>
  </si>
  <si>
    <t>´3.36%</t>
  </si>
  <si>
    <t>Calle Segunda de Selenio s/n, Fraccionamiento Ciudad Industrial, C.P. 34078, Durango, Durango</t>
  </si>
  <si>
    <t>Grupo Constructor Chávez SSSYC S.A. de C.V. / Salvador Eduardo Chávez Molina</t>
  </si>
  <si>
    <t>16-JUN-19</t>
  </si>
  <si>
    <t>Calle Escuela Poste Nº. 9, Colonia Luis Donaldo Colosio, C.P. 80700, Cósala, Sinaloa</t>
  </si>
  <si>
    <t>Avenida Rafael Buelna No. 760 D, Colonia Lomas de Mazatlán, C.P. 82110, Mazatlán, Sinaloa</t>
  </si>
  <si>
    <t>José Rodolfo Tirado Osuna / Ana Rosa Tirado Osuna. Poder General.</t>
  </si>
  <si>
    <t>21-MAY-19</t>
  </si>
  <si>
    <t>Tienda No. 110 IMSS-SNTSS</t>
  </si>
  <si>
    <t>Tienda No. 151 IMSS-SNTSS</t>
  </si>
  <si>
    <t>Tienda No. 133 IMSS-SNTSS</t>
  </si>
  <si>
    <t>Tienda No. 52 IMSS-SNTSS</t>
  </si>
  <si>
    <t>Tienda No. 135 IMSS-SNTSS</t>
  </si>
  <si>
    <t>Tienda No. 33 IMSS-SNTSS</t>
  </si>
  <si>
    <t>Tienda No. 54 IMSS-SNTSS</t>
  </si>
  <si>
    <t>Tienda No. 55 IMSS-SNTSS</t>
  </si>
  <si>
    <t>´45.84%</t>
  </si>
  <si>
    <t>Calle Dr. Emilio Garcia Norte Nº. 90, Colonia José María Morelos, C.P. 61518, Zitácuaro, Michoacán</t>
  </si>
  <si>
    <t>Calle Clemente de Jesús Munguía Nº. 31, Colonia Santa Rosa, C.P. 60360, Los Reyes, Michoacán</t>
  </si>
  <si>
    <t>Inmobiliaria Méndez y Hurtado, S. A. de C.V. / Guillermo Armando Rodriguez Barreto</t>
  </si>
  <si>
    <t>Calle Dr. Alonso Martínez Nº. 660 Sur, Planta Baja y Piso 2, Fraccionamiento Jardinadas, C.P. 59626, Zamora, Michoacán</t>
  </si>
  <si>
    <t>Tomasa Armenta Parra / Alma Briceida Molina Armenta Representante Legal</t>
  </si>
  <si>
    <t>Ejido Agrario El Arenal /  José Jaime Sandoval Jiménez</t>
  </si>
  <si>
    <t>María Esther Madriz Mora</t>
  </si>
  <si>
    <t>Manuela Gámez Jiménez./ Oralia Gómez Ramírez</t>
  </si>
  <si>
    <t>13-AGO-18</t>
  </si>
  <si>
    <t>A-4009-I-GDL</t>
  </si>
  <si>
    <t>02-12-0146</t>
  </si>
  <si>
    <t>02-12-0002</t>
  </si>
  <si>
    <t>02-12-148</t>
  </si>
  <si>
    <t>Calle Hidalgo N°. 195, Colonia Centro, C.P. 48900, Autlán de Navarro, Jalisco</t>
  </si>
  <si>
    <t>16-ABR-96</t>
  </si>
  <si>
    <t>07-10-0477</t>
  </si>
  <si>
    <t>´17-JUN-10</t>
  </si>
  <si>
    <t>Sergio Arizmendi Gómez / Yanelli Arizmendi Marín Albacea</t>
  </si>
  <si>
    <t xml:space="preserve"> A-3048-H-HMO</t>
  </si>
  <si>
    <t>24-MAY-11</t>
  </si>
  <si>
    <t>R. SIN INCREMENTO</t>
  </si>
  <si>
    <t>R. CON INCREMENTO</t>
  </si>
  <si>
    <t xml:space="preserve">Fecha de Última Justipreciación </t>
  </si>
  <si>
    <t xml:space="preserve">Importe Dictaminado de la Última Justipreciación </t>
  </si>
  <si>
    <t xml:space="preserve">Calle Mariano Matamoros Nº. 626, Fraccionamiento Los Pinos, C.P. 91870, Veracruz, Veracruz Norte </t>
  </si>
  <si>
    <t>16-NOV-19</t>
  </si>
  <si>
    <t>Plaza Agropecuario S.A. de C.V / Representante Legal Laura Patricia Gutiérrez Collazo</t>
  </si>
  <si>
    <t>03-OCT-19</t>
  </si>
  <si>
    <t>Calle Fernando Montes de Oca, Lote 6, Manzana 8, Barrio Profortarah, Localidad de Creel, Municipio Bocoyna, Chihuahua</t>
  </si>
  <si>
    <t>Miguel Nevarez Mendoza</t>
  </si>
  <si>
    <t>01-DIC-19</t>
  </si>
  <si>
    <t>06-NIOV-19</t>
  </si>
  <si>
    <t>Boulevard a Zacatecas No. 710, Fraccionamiento Las Hadas, C.P. 20140, Aguascalientes</t>
  </si>
  <si>
    <t>GA CAS Inmuebles y Construcciones S.A. de C.V. / Ramón García Castañeda</t>
  </si>
  <si>
    <t>Avenida Venustiano Carranza No. 114 entre Ignacio Zaragoza y Hugo Cervantes del Rio, Colonia Centro, C.P. 23600, Ciudad Constitución, Baja California Sur</t>
  </si>
  <si>
    <t>Francisco Garrido Subiela / R.L. Víctor Garrido Patrón</t>
  </si>
  <si>
    <t>Concretados</t>
  </si>
  <si>
    <t>Figuras de Arrendamiento</t>
  </si>
  <si>
    <t>01-JUL-16</t>
  </si>
  <si>
    <t>Servicio de Rehabilitación y  Medicina Física y Centro de Capacitación y Calidad</t>
  </si>
  <si>
    <t>Calle Pino Suárez Nº. 33, Colonia San José, C.P. 68200, San Pedro y San Pablo Villa Etla, Oaxaca</t>
  </si>
  <si>
    <t>01-MAR-20</t>
  </si>
  <si>
    <t>Alberto Fidencio Cabrera Méndez / Virginia Merced Santos Morales</t>
  </si>
  <si>
    <t>18-FEB-20</t>
  </si>
  <si>
    <t>Avenida 1 Poniente s/n entre Calles 14 y 16, Colonia Guillermo Lira, C.P. 94108, Huatusco, Veracruz Sur</t>
  </si>
  <si>
    <t>Norma Leticia Castro González</t>
  </si>
  <si>
    <t>Cons. Rentas</t>
  </si>
  <si>
    <t>Art. 2487</t>
  </si>
  <si>
    <t>Ricardo Lara Sandoval</t>
  </si>
  <si>
    <t>Calle Brisa y Sol Nº. 901, Fraccionamiento Comercial 2000, C.P. 87099, Ciudad Victoria, Tamaulipas</t>
  </si>
  <si>
    <t>Hospital</t>
  </si>
  <si>
    <t>Servicios Médicos Morelos S.A. de C.V./ Apoderado Legal Carlos Campos Montero</t>
  </si>
  <si>
    <t>05-JUN-20</t>
  </si>
  <si>
    <t>Calle Cuauhtémoc No. 305 esquina 5 de Mayo, Colonia Lomas de la Selva, Cuernavaca, Morelos</t>
  </si>
  <si>
    <t>02-20-119</t>
  </si>
  <si>
    <t>26-JUN-20</t>
  </si>
  <si>
    <t>´30-JUN-20</t>
  </si>
  <si>
    <t>Cutzamil Inmobiliaria S.A. de C.V. / Carlos Robles González</t>
  </si>
  <si>
    <t>03-JUL-20</t>
  </si>
  <si>
    <t>20-FEB-13</t>
  </si>
  <si>
    <t>24-ABR-19</t>
  </si>
  <si>
    <t>Gobierno del Estado de Guerrero, Fideicomiso Bahía de Zihuatanejo./ Jorge Alberto Allec Maciel</t>
  </si>
  <si>
    <t>Carlos Eugenio Naranjo Martínez / Apoderada Legal María de la Luz Martínez Dávila</t>
  </si>
  <si>
    <t>10-FEB-12</t>
  </si>
  <si>
    <t>10-02-12</t>
  </si>
  <si>
    <t>14-03-12</t>
  </si>
  <si>
    <t>22-AGO-18</t>
  </si>
  <si>
    <t>01-12-0459</t>
  </si>
  <si>
    <t>24-ABR-12</t>
  </si>
  <si>
    <t>1833.98 OAS
1058.30 TIENDA
TOTAL 2892.28</t>
  </si>
  <si>
    <t>25-FEB-2020</t>
  </si>
  <si>
    <t>24-AGO-20</t>
  </si>
  <si>
    <t>Calle Melchor Ocampo Nº. 66, Colonia Centro, C.P. 76000, Querétaro, Querétaro</t>
  </si>
  <si>
    <t>José Luis Pio Loyola Vera</t>
  </si>
  <si>
    <t>01-OCT-20</t>
  </si>
  <si>
    <t>27-AGO-20</t>
  </si>
  <si>
    <t>25-JUN-20</t>
  </si>
  <si>
    <t>´02-SEP-20</t>
  </si>
  <si>
    <t>22-SEP-20</t>
  </si>
  <si>
    <t>24-SEP-20</t>
  </si>
  <si>
    <t>21-SEP-20</t>
  </si>
  <si>
    <t>18-SEP-20</t>
  </si>
  <si>
    <t>02-OCT-20</t>
  </si>
  <si>
    <t>07-SEP-20</t>
  </si>
  <si>
    <t>SANDOMAR S.A. de C.V / Pablo Villanueva Martínez</t>
  </si>
  <si>
    <t>Calle Nardos Nº. 31, Colonia Bugambilias, C.P. 72580, Puebla, Puebla</t>
  </si>
  <si>
    <t>Talía Figueroa González</t>
  </si>
  <si>
    <t>16-SEP-20</t>
  </si>
  <si>
    <t>03-20-273</t>
  </si>
  <si>
    <t>Inmobiliaria Sufe S.A. de C.V. / Representante Legal Benjamín Amiga Levy</t>
  </si>
  <si>
    <t>Avenida Insurgentes Sur No. 1960, Colonia Florida, Alcaldía Álvaro Obregón, C.P. 01030, Ciudad de México, D.F. Sur</t>
  </si>
  <si>
    <t>Calle Yucatán No. 15, Colonia Hipódromo Condesa, Alcaldía Cuauhtémoc, C.P. 06700Ciudad de México, D.F. Sur</t>
  </si>
  <si>
    <t>Yucatán</t>
  </si>
  <si>
    <t>Casa Delegado</t>
  </si>
  <si>
    <t>Yolanda Beatriz González Padilla</t>
  </si>
  <si>
    <t>01-DIC-20</t>
  </si>
  <si>
    <t xml:space="preserve">Privada de Araucaria No. 110 B, Fraccionamiento El Chopo, C.P.68040, Oaxaca, Oaxaca </t>
  </si>
  <si>
    <t>BBRM Alfaltos y Construcciones S. de R.L. de. C.V / Ildefonso Hernández Cortés</t>
  </si>
  <si>
    <t>´25-NOV-20</t>
  </si>
  <si>
    <t>Calle Hidalgo No. 800, Colonia La Providencia, C.P. 52177, Metepec, Estado de México Poniente</t>
  </si>
  <si>
    <t>Berenice Santillan Álvarez</t>
  </si>
  <si>
    <t>12-NOV-20</t>
  </si>
  <si>
    <t>Avenida Venustiano Carranza No. 2329, Interior 302, Colonia Centro, C.P.78240, San Luis Potosí, San Luis Potosí</t>
  </si>
  <si>
    <t>Jorge Narvaez Duque</t>
  </si>
  <si>
    <t>Calle Paseo del Coral No. 156, Colonia San Patricio, C.P. 25204, Saltillo, Coahuila</t>
  </si>
  <si>
    <t>Dra. Rosa Margarita Partida Longoria</t>
  </si>
  <si>
    <t xml:space="preserve">01-DIC-20 </t>
  </si>
  <si>
    <t>13-NOV-20</t>
  </si>
  <si>
    <t>Calzada La Armonía No. 284, Interior 5, Colonia La Armonía, C.P. 28020, Colima, Colima.</t>
  </si>
  <si>
    <t>18-NOV-20</t>
  </si>
  <si>
    <t>Calle Avenida de la Soya esquina Calle del Mango s/n, Colonia Los Tulipanes, C.P. 30797, Tapachula, Chiapas.</t>
  </si>
  <si>
    <t>Alejandra Muñoz Anguiano</t>
  </si>
  <si>
    <t>Calle Washington No. 1004, Interior 1907, Colonia Monterrey Centro, C.P. 64000, Monterrey, Nuevo León.</t>
  </si>
  <si>
    <t>Banco INVEX S.A. Institución de Banca Multiple INVEX Grupo Financiero / Representante Legal Jorge Francisco Dante Rodríguez Navarro</t>
  </si>
  <si>
    <t>01-DCI-20</t>
  </si>
  <si>
    <t>Calle El Deán No. 4, Fraccionamiento Residencial Puerta de Hierro, C.P. 72130, Puebla, Puebla.</t>
  </si>
  <si>
    <t>Laura Jeniffer García Sandoval</t>
  </si>
  <si>
    <t>9034</t>
  </si>
  <si>
    <t>19-NOV-20</t>
  </si>
  <si>
    <t>Gabino Casas Díaz / Bernardo Casas Montaño</t>
  </si>
  <si>
    <t>01-20-637</t>
  </si>
  <si>
    <t>08-DIC-20</t>
  </si>
  <si>
    <t>Campeche</t>
  </si>
  <si>
    <t xml:space="preserve">16-DIC-20 </t>
  </si>
  <si>
    <t>Calle Cordillera de Himalaya No. 520, Fraccionamiento Residencial Bosque Monarca, C.P. 58350,  Morelia, Michoacán</t>
  </si>
  <si>
    <t>Ángel Mericio Duran</t>
  </si>
  <si>
    <t>17-DIC-20</t>
  </si>
  <si>
    <t>03-20-856</t>
  </si>
  <si>
    <t>Tabasco</t>
  </si>
  <si>
    <t>Myriam Magdalena Celorio Pérez</t>
  </si>
  <si>
    <t>16-DIC-20</t>
  </si>
  <si>
    <t>´02-DIC-2020</t>
  </si>
  <si>
    <t>Calle Martín Mendale No. 750, Colonia del Valle, C.P. 03100, Alcaldía Benito Juárez, Ciudad de México D.F. Sur</t>
  </si>
  <si>
    <t>Maria Cristina Martínez de Anda</t>
  </si>
  <si>
    <t>27-NOV-20</t>
  </si>
  <si>
    <t xml:space="preserve">Calle Bruno Martínez No. 379 Norte, Colonia Victoria de Durango, C.P. 34000, Durango, Durango. </t>
  </si>
  <si>
    <t>16-AGO-20</t>
  </si>
  <si>
    <t>01-20-272</t>
  </si>
  <si>
    <t>22-JUL-20</t>
  </si>
  <si>
    <t>Calle Montes Apalaches No. 26, Fraccionamiento La Cima, C.P. 98610, Guadalupe, Zacatecas</t>
  </si>
  <si>
    <t>Jokyn Berseley Hernández Zambrano</t>
  </si>
  <si>
    <t>Proyección Autorizada 2021</t>
  </si>
  <si>
    <t>Proyección 2022</t>
  </si>
  <si>
    <t>01-ENE-21</t>
  </si>
  <si>
    <t>02-20-273</t>
  </si>
  <si>
    <t>Avenida Arroyo El Molino N° 301, Casa 163, Condominio Real del Molino, C.P. 20983, Jesús María, Aguascalientes</t>
  </si>
  <si>
    <t>Boulevard Luis Donaldo Colosio No. 4604, Fraccionamiento del Palmar II, C.P. 42088, Pachuca, Hidalgo</t>
  </si>
  <si>
    <t>CORPOLEVY S. de R.L. de C.V. / Roberto Francisco Levy Vázquez</t>
  </si>
  <si>
    <t>25-JUN-12</t>
  </si>
  <si>
    <t>17-NOV-20</t>
  </si>
  <si>
    <t>Francisco Javier Hernández Machado</t>
  </si>
  <si>
    <t>02-SEP-19</t>
  </si>
  <si>
    <t>Carlos David Herrera Reyes</t>
  </si>
  <si>
    <t>01-ABR-19</t>
  </si>
  <si>
    <t>30-AGO-12</t>
  </si>
  <si>
    <t>05-SEP-19</t>
  </si>
  <si>
    <t>05-JUL-16</t>
  </si>
  <si>
    <t>14-MAY-21</t>
  </si>
  <si>
    <t>04-MAR-15</t>
  </si>
  <si>
    <t>Calle 14 N° 279 por Calle Aldama, Barrio de San Román, C.P. 24040, San Francisco de Campeche, Campeche</t>
  </si>
  <si>
    <t>Adriana del Jesús López Pérez</t>
  </si>
  <si>
    <t>06-ABR-2021</t>
  </si>
  <si>
    <t>069001</t>
  </si>
  <si>
    <t>´050100</t>
  </si>
  <si>
    <t>Calle Azaleas No. 102 Lote 10 Manzana 4, Fraccionamiento Real del Ángel, Colonia Sabina, C.P. 86153, Villahermosa, Tabasco</t>
  </si>
  <si>
    <t>29-ABR-21</t>
  </si>
  <si>
    <t>´07-MAY-21</t>
  </si>
  <si>
    <t>01-JUN-21</t>
  </si>
  <si>
    <t>19-MAY-21</t>
  </si>
  <si>
    <t>Oficinas Administrativas Subdelegacionales y Centro de Capacitación y Calidad</t>
  </si>
  <si>
    <t>Salvador Simental Simental</t>
  </si>
  <si>
    <t>Calle 19 esquina Avenida 9 Nº. 908 y Calle Privada, Colonia Centro, C.P. 94500, Córdoba, Veracruz Sur</t>
  </si>
  <si>
    <t>09-JUL-21</t>
  </si>
  <si>
    <t>21-JUN-21</t>
  </si>
  <si>
    <t>Decremento 2021</t>
  </si>
  <si>
    <t>02-JUL-21</t>
  </si>
  <si>
    <t>01-JUL-21</t>
  </si>
  <si>
    <t>PADRÓN DE ARRENDAMIENTO INMOBILIARIO 2022</t>
  </si>
  <si>
    <t>INMUEBLES ARRENDADOS 2022</t>
  </si>
  <si>
    <t>Calle 21 letra B, No. 430, Colonia Altabrisa, C.P. 97130, Mérida, Yucatán.</t>
  </si>
  <si>
    <t>049001</t>
  </si>
  <si>
    <t>209001</t>
  </si>
  <si>
    <t>289001</t>
  </si>
  <si>
    <t>RENOVACIÓN SIN INCREMENTO</t>
  </si>
  <si>
    <t>Calle Gran Avenida Mexico 86, No. 2602, Colonia Morelos, Puebla, Puebla.</t>
  </si>
  <si>
    <t>Calle Joaquín Fernández de Lizardi N° 3132,, Colonia Jardines de la Paz, C.P. 44860, Guadalajara, Jal.</t>
  </si>
  <si>
    <t>Casa Habitación del Titular del OOAD</t>
  </si>
  <si>
    <t>Consultorio de apoyo a la UMF No. 19</t>
  </si>
  <si>
    <t>Consultorio de apoyo a la UMF No. 20</t>
  </si>
  <si>
    <t>Avenida Hidalgo Sur, Colonia Centro, Gustavo Díaz Ordaz</t>
  </si>
  <si>
    <t>Unidad de Medicina Familiar No. 23</t>
  </si>
  <si>
    <t>Calle Santiago No.3310, Fraccionamiento Residencial Las Villas, C.P. 87029, Cd. Victoria</t>
  </si>
  <si>
    <t xml:space="preserve">Calle Independencia N°,10, Colonia, concepción del Oro </t>
  </si>
  <si>
    <t>Importe
de Renta 2021
S/IVA</t>
  </si>
  <si>
    <t>Importe
de Renta 2021
C/IVA</t>
  </si>
  <si>
    <t>Sustitución impacto del 15%</t>
  </si>
  <si>
    <t>Incremento del 10% al importe de 2021</t>
  </si>
  <si>
    <t>Juárez</t>
  </si>
  <si>
    <t>Alfredo del Mazo Vélez 18, colonia Isidro Favela, Lerma de Villada, Estado de México</t>
  </si>
  <si>
    <t>Calle Porfirío Díaz No. 1109, colonia Barrio Juárez Norte, Matías Romero</t>
  </si>
  <si>
    <t>Unidad de Medicina Familiar No. 28</t>
  </si>
  <si>
    <t>Sub Almacén Zona Norte</t>
  </si>
  <si>
    <t>Calle Marmol No. 210, Fraccionamiento la Cantera, colonia Rafael Delgado, Orizaba</t>
  </si>
  <si>
    <t>Busqueda de Opciones Inmobiliarias</t>
  </si>
  <si>
    <t>Bodega de Reguardo</t>
  </si>
  <si>
    <t>Total</t>
  </si>
  <si>
    <t>Importe
de Renta Proyección 2022
C/IVA</t>
  </si>
  <si>
    <t>calle 5 de mayo, centro, apodaca, Nuevo León</t>
  </si>
  <si>
    <t>Inmuebles</t>
  </si>
  <si>
    <t>Importe</t>
  </si>
  <si>
    <t>Sub-Total</t>
  </si>
  <si>
    <t>OOAD</t>
  </si>
  <si>
    <t xml:space="preserve">  DIVISIÓN DE ARRENDAMIENTO Y COMERCIALIZACIÓN</t>
  </si>
  <si>
    <t xml:space="preserve">  COORDINACIÓN TÉCNICA DE ADMINISTRACIÓN DE ACTIVOS</t>
  </si>
  <si>
    <t xml:space="preserve">   INSTITUTO MEXICANO DEL SEGURO SOCIAL</t>
  </si>
  <si>
    <t xml:space="preserve">  COORDINACIÓN DE CONSEVACIÓN Y SERVICIOS GENERALES</t>
  </si>
  <si>
    <t>Sub Total</t>
  </si>
  <si>
    <t>NUEVOS ARRENDAMIENTOS</t>
  </si>
  <si>
    <t>Montos Máximos Indaabin</t>
  </si>
  <si>
    <t>C. Tapia y Guanacevía No. 4 de la Unidad Habitacional José Campillo Saínz</t>
  </si>
  <si>
    <t>Encino No. 4619, Col. Valle de la Silla, Gpe, N.L.</t>
  </si>
  <si>
    <t>Tienda No. 8</t>
  </si>
  <si>
    <t>Casa TOOAD</t>
  </si>
  <si>
    <t xml:space="preserve">Nuevos </t>
  </si>
  <si>
    <t>Cancelación</t>
  </si>
  <si>
    <t>Sustitución</t>
  </si>
  <si>
    <t>Renovación sin incremento</t>
  </si>
  <si>
    <t>Renovación con incremento</t>
  </si>
  <si>
    <t>Inmuebles en arrendamiento</t>
  </si>
  <si>
    <t>CASA TOOAD</t>
  </si>
  <si>
    <t>TOTAL</t>
  </si>
  <si>
    <t>OTORGAMIENTO CASA TOOAD</t>
  </si>
  <si>
    <t>Boulevard Luis Donaldo Colosio 35Km. Del Aeropuerto, Cancun.</t>
  </si>
  <si>
    <t>OTORGAMIENTO CASA HABITACIÓN</t>
  </si>
  <si>
    <t>Dirección Propuesta del inmueble a arrendar</t>
  </si>
  <si>
    <t>Justificación</t>
  </si>
  <si>
    <t>El inmueble actual se encuentra en una zona industrial, que representa un riesgo para los infantes, observando que quelos locales circundantes carecen de las medidas de seguridad y les falta la autorización por parte de los cuerpos de protección civil</t>
  </si>
  <si>
    <r>
      <t>El Almacén  Delegacional es 1991, con una superficie de 2,800.0 m</t>
    </r>
    <r>
      <rPr>
        <vertAlign val="superscript"/>
        <sz val="14"/>
        <rFont val="Arial"/>
        <family val="2"/>
      </rPr>
      <t xml:space="preserve">2 </t>
    </r>
    <r>
      <rPr>
        <sz val="14"/>
        <rFont val="Arial"/>
        <family val="2"/>
      </rPr>
      <t>y no cumple la normatividad en la materia, por lo que se requiere una superficie de entre 9,000 - 11,000 m</t>
    </r>
    <r>
      <rPr>
        <vertAlign val="superscript"/>
        <sz val="14"/>
        <rFont val="Arial"/>
        <family val="2"/>
      </rPr>
      <t xml:space="preserve">2 </t>
    </r>
    <r>
      <rPr>
        <sz val="14"/>
        <rFont val="Arial"/>
        <family val="2"/>
      </rPr>
      <t>para operar de manera eficiente.</t>
    </r>
  </si>
  <si>
    <t xml:space="preserve">Representa una opción de compra para el personal del IMSS, otorgandole beneficios tales como crédito sin intereses, descuentos vía nómina; a un promedio de 200 a 250 clientes diarios; asimismo, se estima obtener ingresos de $52.0 MDP al año.  </t>
  </si>
  <si>
    <t xml:space="preserve">La UMF No. 20, cuenta con 114,292 derechohabientes en 12 consultorios por turno, de acuerdo al indicador se un inmueble de apoyo para estar en posibilidades de cumplir con calidad y eficiencia a la derechabiencia. </t>
  </si>
  <si>
    <t xml:space="preserve">La UMF No. 19, cuenta con 265,805 derechohabientes en 17 consultorios por turno, de acuerdo al indicador se requieren 11 consultorios adicionales, para estar en posibilidades de cumplir con calidad y eficiencia a la derechabiencia. </t>
  </si>
  <si>
    <t>Actualmente se esta ocupando un espacio en el Hospital Rural Bienestar No. 32 del Programa IMSS-Bienestar,  el cual resulta insuficiente para atender el volumen de derechohabientes que son atendidos.</t>
  </si>
  <si>
    <t xml:space="preserve">Actualmente el archivo se encuentra a su máxima capacidad, propiciado entre otros, porque los expedientes tienen que cumplir 30 años; asimismo, se tienen un gran número de solicitudes no atendidas,lo que crea una saturación de archivos en los inmuebles del OOAD.  </t>
  </si>
  <si>
    <t>Los expedientes a resguardo, han rebasado la capacidad instalada, a pesar de que cada año se realizan las gestiones de desincoporación de documental, sin embargo al carecer de espacio para su resguardo, se acumula en los pasillos de las áreas propiciando potencial riesgo de siniestro.</t>
  </si>
  <si>
    <t xml:space="preserve">La Coordinación de Abasto y Equipamiento, manifiesta la  que el Almacén  Delegacional resulta insuficiente para la correcta operación del mismo, al acumular materiales en los pasillos se impiden las maniobras del montacargas, limpieza y mantenimiento. E incumple con la normativdad de Protección Civil y el abastecimiento oportuno a las unidades médicas, afectando a los derechohabientes y personal del Instituto.  </t>
  </si>
  <si>
    <t>Actualmente se brinda el servicio a la derechohabiencia en un inmueble en comodato otorgado por la Cruz Roja, motivo se solicita el arrendamiento de un inmueble con las condiciones optimas para el adecuado otorgamiento  del  servicio médico a la población derechohabiente.</t>
  </si>
  <si>
    <t>La tienda de Concepción del Oro,  se encuentra con la figura de comodato, por lo el propietario solicita la contratación en arrendamiento a partir del 1º  de enero de 2022</t>
  </si>
  <si>
    <t xml:space="preserve">Con el propósito de cumplir con el acuerdo número ACDO.AS2.HCT.020520/130.P.DVIED, aprobado por el H. Consejo Técnico de fecha 3 de mayo de 2020, que señala que en aquellas sedes en donde no existan inmuebles propios con destino de Casa Delegacional, ni los titulares cuenten con un inmueble propio, autoriza la contración en arrendamiento de un espacio para ese destino.
</t>
  </si>
  <si>
    <t>OTORGAMIENTO CASA AL TOOAD</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</si>
</sst>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4" formatCode="_-&quot;$&quot;* #,##0.00_-;\-&quot;$&quot;* #,##0.00_-;_-&quot;$&quot;* &quot;-&quot;??_-;_-@_-"/>
    <numFmt numFmtId="43" formatCode="_-* #,##0.00_-;\-* #,##0.00_-;_-* &quot;-&quot;??_-;_-@_-"/>
    <numFmt numFmtId="164" formatCode="[$-80A]d&quot; de &quot;mmmm&quot; de &quot;yyyy;@"/>
    <numFmt numFmtId="165" formatCode="&quot;$&quot;#,##0.00"/>
    <numFmt numFmtId="166" formatCode="#,##0_ ;\-#,##0\ "/>
    <numFmt numFmtId="167" formatCode="0.0%"/>
    <numFmt numFmtId="168" formatCode="_-[$€-2]* #,##0.00_-;\-[$€-2]* #,##0.00_-;_-[$€-2]* &quot;-&quot;??_-"/>
    <numFmt numFmtId="169" formatCode="_-* #,##0.00\ _p_t_a_-;\-* #,##0.00\ _p_t_a_-;_-* &quot;-&quot;??\ _p_t_a_-;_-@_-"/>
    <numFmt numFmtId="170" formatCode="d&quot; de &quot;mmm&quot; de &quot;yy"/>
    <numFmt numFmtId="171" formatCode="dd\-mmm\-yyyy"/>
    <numFmt numFmtId="172" formatCode="00"/>
    <numFmt numFmtId="173" formatCode="#,##0.00;[Red]#,##0.00"/>
  </numFmts>
  <fonts count="30" x14ac:knownFonts="1">
    <font>
      <sz val="10"/>
      <name val="Arial"/>
      <family val="2"/>
    </font>
    <font>
      <sz val="11"/>
      <color theme="1"/>
      <name val="Calibri"/>
      <family val="2"/>
      <scheme val="minor"/>
    </font>
    <font>
      <sz val="10"/>
      <name val="Arial"/>
      <family val="2"/>
    </font>
    <font>
      <sz val="12"/>
      <name val="Arial"/>
      <family val="2"/>
    </font>
    <font>
      <sz val="10"/>
      <name val="Cambria"/>
      <family val="1"/>
      <scheme val="major"/>
    </font>
    <font>
      <b/>
      <sz val="12"/>
      <name val="Arial"/>
      <family val="2"/>
    </font>
    <font>
      <sz val="10"/>
      <name val="Calibri"/>
      <family val="2"/>
      <scheme val="minor"/>
    </font>
    <font>
      <b/>
      <sz val="9"/>
      <name val="Calibri"/>
      <family val="2"/>
      <scheme val="minor"/>
    </font>
    <font>
      <sz val="9"/>
      <name val="Calibri"/>
      <family val="2"/>
      <scheme val="minor"/>
    </font>
    <font>
      <sz val="10"/>
      <name val="Times New Roman"/>
      <family val="1"/>
    </font>
    <font>
      <sz val="9"/>
      <name val="Arial"/>
      <family val="2"/>
    </font>
    <font>
      <sz val="10"/>
      <name val="Trebuchet MS"/>
      <family val="2"/>
    </font>
    <font>
      <sz val="11"/>
      <color indexed="8"/>
      <name val="Calibri"/>
      <family val="2"/>
    </font>
    <font>
      <b/>
      <sz val="14"/>
      <name val="Arial"/>
      <family val="2"/>
    </font>
    <font>
      <b/>
      <sz val="16"/>
      <name val="Arial"/>
      <family val="2"/>
    </font>
    <font>
      <sz val="14"/>
      <name val="Arial"/>
      <family val="2"/>
    </font>
    <font>
      <b/>
      <sz val="10"/>
      <name val="Cambria"/>
      <family val="1"/>
      <scheme val="major"/>
    </font>
    <font>
      <b/>
      <sz val="10"/>
      <name val="Calibri"/>
      <family val="2"/>
      <scheme val="minor"/>
    </font>
    <font>
      <b/>
      <sz val="10"/>
      <name val="Arial"/>
      <family val="2"/>
    </font>
    <font>
      <sz val="22"/>
      <name val="Arial"/>
      <family val="2"/>
    </font>
    <font>
      <sz val="16"/>
      <color theme="1"/>
      <name val="Arial"/>
      <family val="2"/>
    </font>
    <font>
      <sz val="16"/>
      <name val="Arial"/>
      <family val="2"/>
    </font>
    <font>
      <sz val="16"/>
      <color indexed="8"/>
      <name val="Arial"/>
      <family val="2"/>
    </font>
    <font>
      <sz val="15"/>
      <color theme="1"/>
      <name val="Arial"/>
      <family val="2"/>
    </font>
    <font>
      <sz val="15"/>
      <name val="Arial"/>
      <family val="2"/>
    </font>
    <font>
      <sz val="15"/>
      <color rgb="FF000000"/>
      <name val="Arial"/>
      <family val="2"/>
    </font>
    <font>
      <b/>
      <sz val="15"/>
      <name val="Arial"/>
      <family val="2"/>
    </font>
    <font>
      <b/>
      <sz val="12"/>
      <name val="Cambria"/>
      <family val="1"/>
      <scheme val="major"/>
    </font>
    <font>
      <b/>
      <sz val="10"/>
      <color theme="0"/>
      <name val="Arial"/>
      <family val="2"/>
    </font>
    <font>
      <vertAlign val="superscript"/>
      <sz val="14"/>
      <name val="Arial"/>
      <family val="2"/>
    </font>
  </fonts>
  <fills count="16">
    <fill>
      <patternFill patternType="none"/>
    </fill>
    <fill>
      <patternFill patternType="gray125"/>
    </fill>
    <fill>
      <patternFill patternType="solid">
        <fgColor rgb="FFFFFFCC"/>
      </patternFill>
    </fill>
    <fill>
      <patternFill patternType="solid">
        <fgColor theme="0"/>
        <bgColor indexed="64"/>
      </patternFill>
    </fill>
    <fill>
      <patternFill patternType="solid">
        <fgColor theme="0" tint="-0.34998626667073579"/>
        <bgColor indexed="64"/>
      </patternFill>
    </fill>
    <fill>
      <patternFill patternType="solid">
        <fgColor rgb="FF92D050"/>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3C944B"/>
        <bgColor indexed="64"/>
      </patternFill>
    </fill>
  </fills>
  <borders count="36">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bottom/>
      <diagonal/>
    </border>
    <border>
      <left/>
      <right/>
      <top style="medium">
        <color theme="0" tint="-0.249977111117893"/>
      </top>
      <bottom style="medium">
        <color theme="0" tint="-0.249977111117893"/>
      </bottom>
      <diagonal/>
    </border>
    <border>
      <left/>
      <right/>
      <top/>
      <bottom style="medium">
        <color theme="0" tint="-0.249977111117893"/>
      </bottom>
      <diagonal/>
    </border>
    <border>
      <left style="thin">
        <color theme="0" tint="-0.249977111117893"/>
      </left>
      <right/>
      <top style="medium">
        <color theme="0" tint="-0.249977111117893"/>
      </top>
      <bottom style="medium">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s>
  <cellStyleXfs count="2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9" fillId="0" borderId="0"/>
    <xf numFmtId="0" fontId="2" fillId="0" borderId="0"/>
    <xf numFmtId="0" fontId="2" fillId="0" borderId="0"/>
    <xf numFmtId="168" fontId="2" fillId="0" borderId="0" applyFont="0" applyFill="0" applyBorder="0" applyAlignment="0" applyProtection="0"/>
    <xf numFmtId="169" fontId="11" fillId="0" borderId="0" applyFont="0" applyFill="0" applyBorder="0" applyAlignment="0" applyProtection="0"/>
    <xf numFmtId="43" fontId="2" fillId="0" borderId="0" applyFont="0" applyFill="0" applyBorder="0" applyAlignment="0" applyProtection="0"/>
    <xf numFmtId="169"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0" fontId="11" fillId="0" borderId="0"/>
    <xf numFmtId="0" fontId="2" fillId="0" borderId="0"/>
    <xf numFmtId="0" fontId="1" fillId="0" borderId="0"/>
    <xf numFmtId="0" fontId="1" fillId="0" borderId="0"/>
    <xf numFmtId="0" fontId="1" fillId="2" borderId="1" applyNumberFormat="0" applyFont="0" applyAlignment="0" applyProtection="0"/>
    <xf numFmtId="9" fontId="1" fillId="0" borderId="0" applyFont="0" applyFill="0" applyBorder="0" applyAlignment="0" applyProtection="0"/>
    <xf numFmtId="9" fontId="2" fillId="0" borderId="0" applyFont="0" applyFill="0" applyBorder="0" applyAlignment="0" applyProtection="0"/>
    <xf numFmtId="9" fontId="12" fillId="0" borderId="0" applyFont="0" applyFill="0" applyBorder="0" applyAlignment="0" applyProtection="0"/>
  </cellStyleXfs>
  <cellXfs count="413">
    <xf numFmtId="0" fontId="0" fillId="0" borderId="0" xfId="0"/>
    <xf numFmtId="0" fontId="3" fillId="0" borderId="0" xfId="0" applyFont="1" applyFill="1" applyAlignment="1">
      <alignment vertical="center" wrapText="1"/>
    </xf>
    <xf numFmtId="0" fontId="3" fillId="0" borderId="0" xfId="0" applyFont="1" applyFill="1"/>
    <xf numFmtId="0" fontId="0" fillId="0" borderId="0" xfId="0" applyFill="1" applyAlignment="1">
      <alignment horizontal="center" vertical="center"/>
    </xf>
    <xf numFmtId="0" fontId="4" fillId="3" borderId="0" xfId="0" applyFont="1" applyFill="1"/>
    <xf numFmtId="0" fontId="3" fillId="0" borderId="0" xfId="0" applyFont="1" applyFill="1" applyBorder="1" applyAlignment="1">
      <alignment vertical="center" wrapText="1"/>
    </xf>
    <xf numFmtId="0" fontId="5" fillId="0" borderId="0" xfId="0" applyFont="1" applyFill="1" applyAlignment="1">
      <alignment wrapText="1"/>
    </xf>
    <xf numFmtId="0" fontId="5" fillId="3" borderId="0" xfId="0" applyFont="1" applyFill="1" applyAlignment="1">
      <alignment wrapText="1"/>
    </xf>
    <xf numFmtId="0" fontId="5" fillId="0" borderId="0" xfId="0" applyFont="1" applyFill="1" applyAlignment="1">
      <alignment vertical="center" wrapText="1"/>
    </xf>
    <xf numFmtId="0" fontId="5" fillId="3" borderId="0" xfId="0" applyFont="1" applyFill="1" applyAlignment="1">
      <alignment vertical="center" wrapText="1"/>
    </xf>
    <xf numFmtId="0" fontId="3" fillId="0" borderId="0" xfId="4" applyFont="1" applyFill="1" applyAlignment="1">
      <alignment vertical="center"/>
    </xf>
    <xf numFmtId="0" fontId="3" fillId="0" borderId="0" xfId="4" applyFont="1" applyFill="1" applyAlignment="1">
      <alignment wrapText="1"/>
    </xf>
    <xf numFmtId="0" fontId="3" fillId="0" borderId="0" xfId="4" applyFont="1" applyFill="1"/>
    <xf numFmtId="0" fontId="6" fillId="0" borderId="0" xfId="4" applyFont="1"/>
    <xf numFmtId="0" fontId="5" fillId="0" borderId="0" xfId="4" applyFont="1" applyFill="1" applyAlignment="1">
      <alignment vertical="center"/>
    </xf>
    <xf numFmtId="0" fontId="5" fillId="0" borderId="0" xfId="4" applyFont="1" applyAlignment="1">
      <alignment vertical="center"/>
    </xf>
    <xf numFmtId="164" fontId="5" fillId="0" borderId="2" xfId="4" applyNumberFormat="1" applyFont="1" applyFill="1" applyBorder="1" applyAlignment="1"/>
    <xf numFmtId="0" fontId="5" fillId="0" borderId="2" xfId="4" applyFont="1" applyFill="1" applyBorder="1" applyAlignment="1"/>
    <xf numFmtId="0" fontId="5" fillId="0" borderId="2" xfId="4" applyFont="1" applyBorder="1" applyAlignment="1"/>
    <xf numFmtId="0" fontId="0" fillId="0" borderId="0" xfId="0" applyFill="1"/>
    <xf numFmtId="0" fontId="8" fillId="0" borderId="0" xfId="0" applyFont="1" applyFill="1" applyAlignment="1">
      <alignment horizontal="left"/>
    </xf>
    <xf numFmtId="0" fontId="8" fillId="0" borderId="0" xfId="0" applyFont="1" applyFill="1" applyAlignment="1">
      <alignment horizontal="right"/>
    </xf>
    <xf numFmtId="0" fontId="0" fillId="0" borderId="0" xfId="0" applyFill="1" applyAlignment="1">
      <alignment vertical="center"/>
    </xf>
    <xf numFmtId="0" fontId="10" fillId="0" borderId="0" xfId="0" applyFont="1" applyFill="1" applyAlignment="1">
      <alignment wrapText="1"/>
    </xf>
    <xf numFmtId="0" fontId="14" fillId="0" borderId="0" xfId="4" applyFont="1" applyFill="1" applyAlignment="1">
      <alignment vertical="center"/>
    </xf>
    <xf numFmtId="0" fontId="13" fillId="0" borderId="0" xfId="0" applyFont="1" applyFill="1" applyAlignment="1"/>
    <xf numFmtId="0" fontId="13" fillId="0" borderId="0" xfId="0" applyFont="1" applyFill="1" applyAlignment="1">
      <alignment vertical="center"/>
    </xf>
    <xf numFmtId="0" fontId="5" fillId="0" borderId="0" xfId="4" applyFont="1"/>
    <xf numFmtId="0" fontId="7" fillId="0" borderId="0" xfId="0" applyFont="1" applyFill="1" applyAlignment="1">
      <alignment horizontal="left"/>
    </xf>
    <xf numFmtId="0" fontId="14" fillId="0" borderId="0" xfId="4" applyFont="1" applyFill="1" applyBorder="1" applyAlignment="1">
      <alignment vertical="center"/>
    </xf>
    <xf numFmtId="0" fontId="5" fillId="0" borderId="0" xfId="4" applyFont="1" applyFill="1" applyBorder="1" applyAlignment="1">
      <alignment vertical="center"/>
    </xf>
    <xf numFmtId="0" fontId="6" fillId="0" borderId="0" xfId="4" applyFont="1" applyBorder="1"/>
    <xf numFmtId="0" fontId="5" fillId="0" borderId="0" xfId="4" applyFont="1" applyBorder="1" applyAlignment="1">
      <alignment vertical="center"/>
    </xf>
    <xf numFmtId="0" fontId="0" fillId="3" borderId="0" xfId="0" applyFill="1" applyAlignment="1">
      <alignment horizontal="center" vertical="center"/>
    </xf>
    <xf numFmtId="0" fontId="0" fillId="3" borderId="0" xfId="0" applyFill="1"/>
    <xf numFmtId="0" fontId="8" fillId="3" borderId="0" xfId="0" applyFont="1" applyFill="1" applyAlignment="1">
      <alignment horizontal="left"/>
    </xf>
    <xf numFmtId="0" fontId="3" fillId="3" borderId="0" xfId="0" applyFont="1" applyFill="1"/>
    <xf numFmtId="0" fontId="16" fillId="3" borderId="0" xfId="0" applyFont="1" applyFill="1" applyAlignment="1">
      <alignment horizontal="center" vertical="center"/>
    </xf>
    <xf numFmtId="0" fontId="17" fillId="0" borderId="0" xfId="4" applyFont="1" applyAlignment="1">
      <alignment horizontal="center" vertical="center"/>
    </xf>
    <xf numFmtId="0" fontId="17" fillId="0" borderId="0" xfId="4" applyFont="1" applyBorder="1" applyAlignment="1">
      <alignment horizontal="center" vertical="center"/>
    </xf>
    <xf numFmtId="0" fontId="18" fillId="0" borderId="0" xfId="0" applyFont="1" applyFill="1" applyAlignment="1">
      <alignment horizontal="center" vertical="center"/>
    </xf>
    <xf numFmtId="0" fontId="18" fillId="3" borderId="0" xfId="0" applyFont="1" applyFill="1" applyAlignment="1">
      <alignment horizontal="center" vertical="center"/>
    </xf>
    <xf numFmtId="0" fontId="17" fillId="3" borderId="0" xfId="0" applyFont="1" applyFill="1" applyAlignment="1">
      <alignment horizontal="center" vertical="center"/>
    </xf>
    <xf numFmtId="0" fontId="17" fillId="0" borderId="0" xfId="0" applyFont="1" applyFill="1" applyAlignment="1">
      <alignment horizontal="center" vertical="center"/>
    </xf>
    <xf numFmtId="0" fontId="5" fillId="0" borderId="0" xfId="0" applyFont="1" applyFill="1" applyAlignment="1">
      <alignment horizontal="left" wrapText="1"/>
    </xf>
    <xf numFmtId="0" fontId="5" fillId="0" borderId="2" xfId="4" applyFont="1" applyFill="1" applyBorder="1" applyAlignment="1">
      <alignment horizontal="left"/>
    </xf>
    <xf numFmtId="0" fontId="24" fillId="0" borderId="0" xfId="0" applyFont="1" applyFill="1" applyAlignment="1">
      <alignment vertical="center" wrapText="1"/>
    </xf>
    <xf numFmtId="0" fontId="24" fillId="0" borderId="0" xfId="0" applyFont="1" applyFill="1" applyBorder="1" applyAlignment="1">
      <alignment vertical="center" wrapText="1"/>
    </xf>
    <xf numFmtId="0" fontId="26" fillId="0" borderId="0" xfId="4" applyFont="1" applyFill="1" applyAlignment="1">
      <alignment vertical="center"/>
    </xf>
    <xf numFmtId="0" fontId="26" fillId="0" borderId="0" xfId="4" applyFont="1" applyFill="1" applyBorder="1" applyAlignment="1">
      <alignment vertical="center"/>
    </xf>
    <xf numFmtId="164" fontId="26" fillId="0" borderId="2" xfId="4" applyNumberFormat="1" applyFont="1" applyFill="1" applyBorder="1" applyAlignment="1"/>
    <xf numFmtId="0" fontId="24" fillId="0" borderId="0" xfId="0" applyFont="1" applyFill="1" applyAlignment="1">
      <alignment vertical="center"/>
    </xf>
    <xf numFmtId="0" fontId="26" fillId="5" borderId="3" xfId="4" applyFont="1" applyFill="1" applyBorder="1" applyAlignment="1">
      <alignment horizontal="center" vertical="center" wrapText="1"/>
    </xf>
    <xf numFmtId="0" fontId="26" fillId="5" borderId="5" xfId="4" applyFont="1" applyFill="1" applyBorder="1" applyAlignment="1">
      <alignment horizontal="center" vertical="center" wrapText="1"/>
    </xf>
    <xf numFmtId="0" fontId="6" fillId="3" borderId="0" xfId="4" applyFont="1" applyFill="1" applyBorder="1"/>
    <xf numFmtId="0" fontId="5" fillId="3" borderId="0" xfId="4" applyFont="1" applyFill="1" applyBorder="1" applyAlignment="1">
      <alignment horizontal="left" vertical="center"/>
    </xf>
    <xf numFmtId="0" fontId="5" fillId="3" borderId="0" xfId="4" applyFont="1" applyFill="1" applyBorder="1" applyAlignment="1">
      <alignment horizontal="center" vertical="center"/>
    </xf>
    <xf numFmtId="0" fontId="27" fillId="6" borderId="0" xfId="0" applyFont="1" applyFill="1" applyAlignment="1">
      <alignment horizontal="center"/>
    </xf>
    <xf numFmtId="15" fontId="20" fillId="0" borderId="7" xfId="0" quotePrefix="1" applyNumberFormat="1" applyFont="1" applyFill="1" applyBorder="1" applyAlignment="1">
      <alignment horizontal="center" vertical="center" wrapText="1"/>
    </xf>
    <xf numFmtId="165" fontId="21" fillId="0" borderId="4" xfId="2" applyNumberFormat="1" applyFont="1" applyFill="1" applyBorder="1" applyAlignment="1" applyProtection="1">
      <alignment horizontal="center" vertical="center" wrapText="1"/>
      <protection locked="0"/>
    </xf>
    <xf numFmtId="166" fontId="21" fillId="0" borderId="4" xfId="1" applyNumberFormat="1" applyFont="1" applyFill="1" applyBorder="1" applyAlignment="1" applyProtection="1">
      <alignment horizontal="center" vertical="center" wrapText="1"/>
      <protection locked="0"/>
    </xf>
    <xf numFmtId="165" fontId="21" fillId="0" borderId="4" xfId="1" applyNumberFormat="1" applyFont="1" applyFill="1" applyBorder="1" applyAlignment="1" applyProtection="1">
      <alignment horizontal="center" vertical="center" wrapText="1"/>
      <protection locked="0"/>
    </xf>
    <xf numFmtId="4" fontId="21" fillId="0" borderId="3" xfId="1" applyNumberFormat="1" applyFont="1" applyFill="1" applyBorder="1" applyAlignment="1">
      <alignment horizontal="center" vertical="center"/>
    </xf>
    <xf numFmtId="0" fontId="21" fillId="0" borderId="4" xfId="1" applyNumberFormat="1" applyFont="1" applyFill="1" applyBorder="1" applyAlignment="1" applyProtection="1">
      <alignment horizontal="center" vertical="center" wrapText="1"/>
      <protection locked="0"/>
    </xf>
    <xf numFmtId="9" fontId="21" fillId="0" borderId="4" xfId="3" applyFont="1" applyFill="1" applyBorder="1" applyAlignment="1" applyProtection="1">
      <alignment horizontal="center" vertical="center" wrapText="1"/>
      <protection locked="0"/>
    </xf>
    <xf numFmtId="4" fontId="21" fillId="0" borderId="3" xfId="0" quotePrefix="1" applyNumberFormat="1" applyFont="1" applyFill="1" applyBorder="1" applyAlignment="1">
      <alignment horizontal="center" vertical="center" wrapText="1"/>
    </xf>
    <xf numFmtId="166" fontId="21" fillId="0" borderId="12" xfId="1" applyNumberFormat="1" applyFont="1" applyFill="1" applyBorder="1" applyAlignment="1" applyProtection="1">
      <alignment horizontal="center" vertical="center" wrapText="1"/>
      <protection locked="0"/>
    </xf>
    <xf numFmtId="165" fontId="21" fillId="0" borderId="12" xfId="1" applyNumberFormat="1" applyFont="1" applyFill="1" applyBorder="1" applyAlignment="1" applyProtection="1">
      <alignment horizontal="center" vertical="center" wrapText="1"/>
      <protection locked="0"/>
    </xf>
    <xf numFmtId="4" fontId="21" fillId="0" borderId="7" xfId="1" applyNumberFormat="1" applyFont="1" applyFill="1" applyBorder="1" applyAlignment="1">
      <alignment horizontal="center" vertical="center"/>
    </xf>
    <xf numFmtId="15" fontId="21" fillId="0" borderId="4" xfId="0" applyNumberFormat="1" applyFont="1" applyFill="1" applyBorder="1" applyAlignment="1">
      <alignment horizontal="center" vertical="center" wrapText="1"/>
    </xf>
    <xf numFmtId="4" fontId="21" fillId="0" borderId="3" xfId="0" applyNumberFormat="1" applyFont="1" applyFill="1" applyBorder="1" applyAlignment="1">
      <alignment horizontal="center" vertical="center"/>
    </xf>
    <xf numFmtId="4" fontId="20" fillId="0" borderId="3" xfId="1" applyNumberFormat="1" applyFont="1" applyFill="1" applyBorder="1" applyAlignment="1">
      <alignment horizontal="center" vertical="center"/>
    </xf>
    <xf numFmtId="0" fontId="21" fillId="0" borderId="4" xfId="0" applyFont="1" applyFill="1" applyBorder="1" applyAlignment="1" applyProtection="1">
      <alignment horizontal="center" vertical="center" wrapText="1"/>
      <protection locked="0"/>
    </xf>
    <xf numFmtId="4" fontId="21" fillId="0" borderId="7" xfId="0" quotePrefix="1" applyNumberFormat="1" applyFont="1" applyFill="1" applyBorder="1" applyAlignment="1">
      <alignment horizontal="center" vertical="center" wrapText="1"/>
    </xf>
    <xf numFmtId="0" fontId="21" fillId="0" borderId="4" xfId="0" applyFont="1" applyFill="1" applyBorder="1" applyAlignment="1">
      <alignment horizontal="center" vertical="center"/>
    </xf>
    <xf numFmtId="167" fontId="21" fillId="0" borderId="4" xfId="3" applyNumberFormat="1" applyFont="1" applyFill="1" applyBorder="1" applyAlignment="1" applyProtection="1">
      <alignment horizontal="center" vertical="center" wrapText="1"/>
      <protection locked="0"/>
    </xf>
    <xf numFmtId="165" fontId="21" fillId="0" borderId="3" xfId="5" applyNumberFormat="1" applyFont="1" applyFill="1" applyBorder="1" applyAlignment="1" applyProtection="1">
      <alignment vertical="center" wrapText="1"/>
      <protection locked="0"/>
    </xf>
    <xf numFmtId="173" fontId="21" fillId="0" borderId="3" xfId="5" applyNumberFormat="1" applyFont="1" applyFill="1" applyBorder="1" applyAlignment="1" applyProtection="1">
      <alignment horizontal="center" vertical="center"/>
      <protection locked="0"/>
    </xf>
    <xf numFmtId="165" fontId="21" fillId="0" borderId="3" xfId="5" applyNumberFormat="1" applyFont="1" applyFill="1" applyBorder="1" applyAlignment="1" applyProtection="1">
      <alignment horizontal="center" vertical="center" wrapText="1"/>
      <protection locked="0"/>
    </xf>
    <xf numFmtId="165" fontId="21" fillId="0" borderId="4" xfId="2" applyNumberFormat="1" applyFont="1" applyFill="1" applyBorder="1" applyAlignment="1" applyProtection="1">
      <alignment horizontal="right" vertical="center" wrapText="1"/>
      <protection locked="0"/>
    </xf>
    <xf numFmtId="4" fontId="21" fillId="0" borderId="4" xfId="2" applyNumberFormat="1" applyFont="1" applyFill="1" applyBorder="1" applyAlignment="1" applyProtection="1">
      <alignment horizontal="center" vertical="center" wrapText="1"/>
      <protection locked="0"/>
    </xf>
    <xf numFmtId="0" fontId="21" fillId="0" borderId="8" xfId="1" applyNumberFormat="1" applyFont="1" applyFill="1" applyBorder="1" applyAlignment="1" applyProtection="1">
      <alignment horizontal="center" vertical="center" wrapText="1"/>
      <protection locked="0"/>
    </xf>
    <xf numFmtId="14" fontId="21" fillId="0" borderId="3" xfId="0" quotePrefix="1" applyNumberFormat="1" applyFont="1" applyFill="1" applyBorder="1" applyAlignment="1" applyProtection="1">
      <alignment horizontal="center" vertical="center" wrapText="1"/>
      <protection locked="0"/>
    </xf>
    <xf numFmtId="165" fontId="21" fillId="0" borderId="4" xfId="0" applyNumberFormat="1" applyFont="1" applyFill="1" applyBorder="1" applyAlignment="1">
      <alignment horizontal="center" vertical="center"/>
    </xf>
    <xf numFmtId="10" fontId="21" fillId="0" borderId="4" xfId="0" applyNumberFormat="1" applyFont="1" applyFill="1" applyBorder="1" applyAlignment="1">
      <alignment horizontal="center" vertical="center"/>
    </xf>
    <xf numFmtId="9" fontId="21" fillId="0" borderId="4" xfId="0" applyNumberFormat="1" applyFont="1" applyFill="1" applyBorder="1" applyAlignment="1">
      <alignment horizontal="center" vertical="center"/>
    </xf>
    <xf numFmtId="0" fontId="21" fillId="0" borderId="3" xfId="0" quotePrefix="1" applyFont="1" applyFill="1" applyBorder="1" applyAlignment="1">
      <alignment horizontal="center" vertical="center" wrapText="1"/>
    </xf>
    <xf numFmtId="15" fontId="21" fillId="0" borderId="3" xfId="0" quotePrefix="1" applyNumberFormat="1" applyFont="1" applyFill="1" applyBorder="1" applyAlignment="1" applyProtection="1">
      <alignment horizontal="center" vertical="center" wrapText="1"/>
      <protection locked="0"/>
    </xf>
    <xf numFmtId="0" fontId="21" fillId="0" borderId="3" xfId="0" applyFont="1" applyFill="1" applyBorder="1" applyAlignment="1">
      <alignment horizontal="center" vertical="center"/>
    </xf>
    <xf numFmtId="165" fontId="21" fillId="0" borderId="3" xfId="0" applyNumberFormat="1" applyFont="1" applyFill="1" applyBorder="1" applyAlignment="1">
      <alignment horizontal="center" vertical="center"/>
    </xf>
    <xf numFmtId="9" fontId="21" fillId="0" borderId="3" xfId="0" applyNumberFormat="1" applyFont="1" applyFill="1" applyBorder="1" applyAlignment="1">
      <alignment horizontal="center" vertical="center"/>
    </xf>
    <xf numFmtId="15" fontId="21" fillId="0" borderId="3" xfId="0" applyNumberFormat="1" applyFont="1" applyFill="1" applyBorder="1" applyAlignment="1">
      <alignment horizontal="center" vertical="center"/>
    </xf>
    <xf numFmtId="14" fontId="21" fillId="0" borderId="5" xfId="0" quotePrefix="1" applyNumberFormat="1" applyFont="1" applyFill="1" applyBorder="1" applyAlignment="1" applyProtection="1">
      <alignment horizontal="center" vertical="center" wrapText="1"/>
      <protection locked="0"/>
    </xf>
    <xf numFmtId="0" fontId="21" fillId="0" borderId="5" xfId="0" quotePrefix="1" applyFont="1" applyFill="1" applyBorder="1" applyAlignment="1">
      <alignment horizontal="center" vertical="center" wrapText="1"/>
    </xf>
    <xf numFmtId="0" fontId="21" fillId="0" borderId="3" xfId="5" quotePrefix="1" applyNumberFormat="1" applyFont="1" applyFill="1" applyBorder="1" applyAlignment="1" applyProtection="1">
      <alignment horizontal="center" vertical="center" wrapText="1"/>
      <protection locked="0"/>
    </xf>
    <xf numFmtId="14" fontId="21" fillId="0" borderId="3" xfId="0" quotePrefix="1" applyNumberFormat="1" applyFont="1" applyFill="1" applyBorder="1" applyAlignment="1">
      <alignment horizontal="center" vertical="center" wrapText="1"/>
    </xf>
    <xf numFmtId="165" fontId="21" fillId="0" borderId="3" xfId="5" applyNumberFormat="1" applyFont="1" applyFill="1" applyBorder="1" applyAlignment="1">
      <alignment horizontal="right" vertical="center" wrapText="1"/>
    </xf>
    <xf numFmtId="165" fontId="21" fillId="0" borderId="3" xfId="2" applyNumberFormat="1" applyFont="1" applyFill="1" applyBorder="1" applyAlignment="1" applyProtection="1">
      <alignment horizontal="center" vertical="center" wrapText="1"/>
      <protection locked="0"/>
    </xf>
    <xf numFmtId="15" fontId="21" fillId="0" borderId="3" xfId="0" quotePrefix="1" applyNumberFormat="1" applyFont="1" applyFill="1" applyBorder="1" applyAlignment="1">
      <alignment horizontal="center" vertical="center" wrapText="1"/>
    </xf>
    <xf numFmtId="4" fontId="21" fillId="0" borderId="4" xfId="0" applyNumberFormat="1" applyFont="1" applyFill="1" applyBorder="1" applyAlignment="1" applyProtection="1">
      <alignment horizontal="center" vertical="center" wrapText="1"/>
      <protection locked="0"/>
    </xf>
    <xf numFmtId="0" fontId="21" fillId="0" borderId="4" xfId="0" applyFont="1" applyFill="1" applyBorder="1" applyAlignment="1">
      <alignment horizontal="center" vertical="center" wrapText="1"/>
    </xf>
    <xf numFmtId="10" fontId="21" fillId="0" borderId="4" xfId="3" applyNumberFormat="1" applyFont="1" applyFill="1" applyBorder="1" applyAlignment="1">
      <alignment horizontal="center" vertical="center"/>
    </xf>
    <xf numFmtId="10" fontId="21" fillId="0" borderId="4" xfId="1" applyNumberFormat="1" applyFont="1" applyFill="1" applyBorder="1" applyAlignment="1" applyProtection="1">
      <alignment horizontal="center" vertical="center" wrapText="1"/>
      <protection locked="0"/>
    </xf>
    <xf numFmtId="14" fontId="22" fillId="0" borderId="3" xfId="0" applyNumberFormat="1" applyFont="1" applyFill="1" applyBorder="1" applyAlignment="1" applyProtection="1">
      <alignment horizontal="center" vertical="center" wrapText="1"/>
      <protection locked="0"/>
    </xf>
    <xf numFmtId="49" fontId="21" fillId="0" borderId="3" xfId="0" quotePrefix="1" applyNumberFormat="1" applyFont="1" applyFill="1" applyBorder="1" applyAlignment="1">
      <alignment horizontal="center" vertical="center" wrapText="1"/>
    </xf>
    <xf numFmtId="15" fontId="22" fillId="0" borderId="6" xfId="5" applyNumberFormat="1" applyFont="1" applyFill="1" applyBorder="1" applyAlignment="1" applyProtection="1">
      <alignment horizontal="center" vertical="center" wrapText="1"/>
      <protection locked="0"/>
    </xf>
    <xf numFmtId="4" fontId="22" fillId="0" borderId="3" xfId="0" applyNumberFormat="1" applyFont="1" applyFill="1" applyBorder="1" applyAlignment="1" applyProtection="1">
      <alignment vertical="center"/>
      <protection locked="0"/>
    </xf>
    <xf numFmtId="4" fontId="22" fillId="0" borderId="3" xfId="5" applyNumberFormat="1" applyFont="1" applyFill="1" applyBorder="1" applyAlignment="1" applyProtection="1">
      <alignment horizontal="right" vertical="center" wrapText="1"/>
      <protection locked="0"/>
    </xf>
    <xf numFmtId="4" fontId="15" fillId="0" borderId="3" xfId="1" applyNumberFormat="1" applyFont="1" applyFill="1" applyBorder="1" applyAlignment="1">
      <alignment horizontal="center" vertical="center" wrapText="1"/>
    </xf>
    <xf numFmtId="9" fontId="21" fillId="0" borderId="3" xfId="3" applyFont="1" applyFill="1" applyBorder="1" applyAlignment="1" applyProtection="1">
      <alignment horizontal="center" vertical="center" wrapText="1"/>
      <protection locked="0"/>
    </xf>
    <xf numFmtId="166" fontId="21" fillId="0" borderId="3" xfId="1" applyNumberFormat="1" applyFont="1" applyFill="1" applyBorder="1" applyAlignment="1" applyProtection="1">
      <alignment horizontal="center" vertical="center" wrapText="1"/>
      <protection locked="0"/>
    </xf>
    <xf numFmtId="165" fontId="21" fillId="0" borderId="3" xfId="1" applyNumberFormat="1" applyFont="1" applyFill="1" applyBorder="1" applyAlignment="1" applyProtection="1">
      <alignment horizontal="center" vertical="center" wrapText="1"/>
      <protection locked="0"/>
    </xf>
    <xf numFmtId="167" fontId="21" fillId="0" borderId="3" xfId="3" applyNumberFormat="1" applyFont="1" applyFill="1" applyBorder="1" applyAlignment="1" applyProtection="1">
      <alignment horizontal="center" vertical="center" wrapText="1"/>
      <protection locked="0"/>
    </xf>
    <xf numFmtId="0" fontId="21" fillId="0" borderId="4" xfId="1" quotePrefix="1" applyNumberFormat="1" applyFont="1" applyFill="1" applyBorder="1" applyAlignment="1" applyProtection="1">
      <alignment horizontal="center" vertical="center" wrapText="1"/>
      <protection locked="0"/>
    </xf>
    <xf numFmtId="9" fontId="21" fillId="0" borderId="3" xfId="3" quotePrefix="1" applyFont="1" applyFill="1" applyBorder="1" applyAlignment="1" applyProtection="1">
      <alignment horizontal="center" vertical="center" wrapText="1"/>
      <protection locked="0"/>
    </xf>
    <xf numFmtId="9" fontId="21" fillId="0" borderId="3" xfId="3" applyFont="1" applyFill="1" applyBorder="1" applyAlignment="1">
      <alignment horizontal="center" vertical="center"/>
    </xf>
    <xf numFmtId="166" fontId="21" fillId="0" borderId="3" xfId="1" quotePrefix="1" applyNumberFormat="1" applyFont="1" applyFill="1" applyBorder="1" applyAlignment="1" applyProtection="1">
      <alignment horizontal="center" vertical="center" wrapText="1"/>
      <protection locked="0"/>
    </xf>
    <xf numFmtId="4" fontId="21" fillId="0" borderId="4" xfId="0" quotePrefix="1" applyNumberFormat="1" applyFont="1" applyFill="1" applyBorder="1" applyAlignment="1">
      <alignment horizontal="center" vertical="center" wrapText="1"/>
    </xf>
    <xf numFmtId="15" fontId="21" fillId="0" borderId="6" xfId="0" quotePrefix="1" applyNumberFormat="1" applyFont="1" applyFill="1" applyBorder="1" applyAlignment="1">
      <alignment horizontal="center" vertical="center" wrapText="1"/>
    </xf>
    <xf numFmtId="49" fontId="21" fillId="0" borderId="4" xfId="1" applyNumberFormat="1" applyFont="1" applyFill="1" applyBorder="1" applyAlignment="1" applyProtection="1">
      <alignment horizontal="center" vertical="center" wrapText="1"/>
      <protection locked="0"/>
    </xf>
    <xf numFmtId="4" fontId="21" fillId="0" borderId="9" xfId="0" quotePrefix="1" applyNumberFormat="1" applyFont="1" applyFill="1" applyBorder="1" applyAlignment="1">
      <alignment horizontal="center" vertical="center" wrapText="1"/>
    </xf>
    <xf numFmtId="165" fontId="21" fillId="0" borderId="9" xfId="2" applyNumberFormat="1" applyFont="1" applyFill="1" applyBorder="1" applyAlignment="1" applyProtection="1">
      <alignment horizontal="center" vertical="center" wrapText="1"/>
      <protection locked="0"/>
    </xf>
    <xf numFmtId="4" fontId="21" fillId="0" borderId="9" xfId="1" applyNumberFormat="1" applyFont="1" applyFill="1" applyBorder="1" applyAlignment="1">
      <alignment horizontal="center" vertical="center"/>
    </xf>
    <xf numFmtId="170" fontId="21" fillId="0" borderId="3" xfId="0" applyNumberFormat="1" applyFont="1" applyFill="1" applyBorder="1" applyAlignment="1">
      <alignment horizontal="center" vertical="center" wrapText="1"/>
    </xf>
    <xf numFmtId="165" fontId="21" fillId="0" borderId="4" xfId="5" applyNumberFormat="1" applyFont="1" applyFill="1" applyBorder="1" applyAlignment="1">
      <alignment horizontal="center" vertical="center" wrapText="1"/>
    </xf>
    <xf numFmtId="43" fontId="21" fillId="0" borderId="3" xfId="1" applyFont="1" applyFill="1" applyBorder="1" applyAlignment="1" applyProtection="1">
      <alignment horizontal="center" vertical="center"/>
    </xf>
    <xf numFmtId="0" fontId="24" fillId="0" borderId="4" xfId="4" applyFont="1" applyFill="1" applyBorder="1" applyAlignment="1">
      <alignment horizontal="center" vertical="center" wrapText="1"/>
    </xf>
    <xf numFmtId="14" fontId="21" fillId="0" borderId="6" xfId="0" quotePrefix="1" applyNumberFormat="1" applyFont="1" applyFill="1" applyBorder="1" applyAlignment="1">
      <alignment horizontal="centerContinuous" vertical="center" wrapText="1"/>
    </xf>
    <xf numFmtId="9" fontId="21" fillId="0" borderId="4" xfId="3" applyNumberFormat="1" applyFont="1" applyFill="1" applyBorder="1" applyAlignment="1" applyProtection="1">
      <alignment horizontal="center" vertical="center" wrapText="1"/>
      <protection locked="0"/>
    </xf>
    <xf numFmtId="9" fontId="21" fillId="0" borderId="7" xfId="3" applyNumberFormat="1" applyFont="1" applyFill="1" applyBorder="1" applyAlignment="1" applyProtection="1">
      <alignment horizontal="center" vertical="center" wrapText="1"/>
      <protection locked="0"/>
    </xf>
    <xf numFmtId="4" fontId="21" fillId="0" borderId="3" xfId="5" applyNumberFormat="1" applyFont="1" applyFill="1" applyBorder="1" applyAlignment="1">
      <alignment horizontal="center" vertical="center" wrapText="1"/>
    </xf>
    <xf numFmtId="165" fontId="21" fillId="0" borderId="3" xfId="5" applyNumberFormat="1" applyFont="1" applyFill="1" applyBorder="1" applyAlignment="1">
      <alignment horizontal="center" vertical="center" wrapText="1"/>
    </xf>
    <xf numFmtId="10" fontId="21" fillId="0" borderId="4" xfId="3" applyNumberFormat="1" applyFont="1" applyFill="1" applyBorder="1" applyAlignment="1" applyProtection="1">
      <alignment horizontal="center" vertical="center" wrapText="1"/>
      <protection locked="0"/>
    </xf>
    <xf numFmtId="0" fontId="21" fillId="0" borderId="4" xfId="3" applyNumberFormat="1" applyFont="1" applyFill="1" applyBorder="1" applyAlignment="1" applyProtection="1">
      <alignment horizontal="center" vertical="center" wrapText="1"/>
      <protection locked="0"/>
    </xf>
    <xf numFmtId="49" fontId="21" fillId="0" borderId="3" xfId="5" applyNumberFormat="1" applyFont="1" applyFill="1" applyBorder="1" applyAlignment="1">
      <alignment horizontal="center" vertical="center"/>
    </xf>
    <xf numFmtId="49" fontId="21" fillId="0" borderId="6" xfId="5" applyNumberFormat="1" applyFont="1" applyFill="1" applyBorder="1" applyAlignment="1">
      <alignment horizontal="center" vertical="center" wrapText="1"/>
    </xf>
    <xf numFmtId="0" fontId="21" fillId="0" borderId="7" xfId="3" applyNumberFormat="1" applyFont="1" applyFill="1" applyBorder="1" applyAlignment="1" applyProtection="1">
      <alignment horizontal="center" vertical="center" wrapText="1"/>
      <protection locked="0"/>
    </xf>
    <xf numFmtId="4" fontId="20" fillId="0" borderId="3" xfId="0" quotePrefix="1" applyNumberFormat="1" applyFont="1" applyFill="1" applyBorder="1" applyAlignment="1">
      <alignment horizontal="center" vertical="center" wrapText="1"/>
    </xf>
    <xf numFmtId="165" fontId="20" fillId="0" borderId="4" xfId="2" applyNumberFormat="1" applyFont="1" applyFill="1" applyBorder="1" applyAlignment="1" applyProtection="1">
      <alignment horizontal="center" vertical="center" wrapText="1"/>
      <protection locked="0"/>
    </xf>
    <xf numFmtId="166" fontId="20" fillId="0" borderId="4" xfId="1" applyNumberFormat="1" applyFont="1" applyFill="1" applyBorder="1" applyAlignment="1" applyProtection="1">
      <alignment horizontal="center" vertical="center" wrapText="1"/>
      <protection locked="0"/>
    </xf>
    <xf numFmtId="165" fontId="20" fillId="0" borderId="4" xfId="1" applyNumberFormat="1" applyFont="1" applyFill="1" applyBorder="1" applyAlignment="1" applyProtection="1">
      <alignment horizontal="center" vertical="center" wrapText="1"/>
      <protection locked="0"/>
    </xf>
    <xf numFmtId="0" fontId="20" fillId="0" borderId="3" xfId="0" applyFont="1" applyFill="1" applyBorder="1" applyAlignment="1">
      <alignment horizontal="center" vertical="center" wrapText="1"/>
    </xf>
    <xf numFmtId="15" fontId="20" fillId="0" borderId="3" xfId="0" applyNumberFormat="1" applyFont="1" applyFill="1" applyBorder="1" applyAlignment="1">
      <alignment horizontal="center" vertical="center" wrapText="1"/>
    </xf>
    <xf numFmtId="15" fontId="21" fillId="0" borderId="3" xfId="1" applyNumberFormat="1" applyFont="1" applyFill="1" applyBorder="1" applyAlignment="1" applyProtection="1">
      <alignment horizontal="center" vertical="center" wrapText="1"/>
      <protection locked="0"/>
    </xf>
    <xf numFmtId="4" fontId="21" fillId="0" borderId="4" xfId="1" applyNumberFormat="1" applyFont="1" applyFill="1" applyBorder="1" applyAlignment="1">
      <alignment horizontal="center" vertical="center"/>
    </xf>
    <xf numFmtId="4" fontId="21" fillId="0" borderId="3" xfId="4" applyNumberFormat="1" applyFont="1" applyFill="1" applyBorder="1" applyAlignment="1">
      <alignment horizontal="center" vertical="center"/>
    </xf>
    <xf numFmtId="171" fontId="21" fillId="0" borderId="3" xfId="5" quotePrefix="1" applyNumberFormat="1" applyFont="1" applyFill="1" applyBorder="1" applyAlignment="1">
      <alignment horizontal="center" vertical="center" wrapText="1"/>
    </xf>
    <xf numFmtId="169" fontId="21" fillId="0" borderId="3" xfId="9" applyFont="1" applyFill="1" applyBorder="1" applyAlignment="1">
      <alignment horizontal="center" vertical="center"/>
    </xf>
    <xf numFmtId="169" fontId="21" fillId="0" borderId="3" xfId="9" applyFont="1" applyFill="1" applyBorder="1" applyAlignment="1">
      <alignment horizontal="right" vertical="center"/>
    </xf>
    <xf numFmtId="0" fontId="3" fillId="0" borderId="0" xfId="4" applyFont="1" applyFill="1" applyBorder="1" applyAlignment="1">
      <alignment horizontal="center" vertical="center"/>
    </xf>
    <xf numFmtId="0" fontId="20" fillId="0" borderId="4" xfId="0" applyFont="1" applyFill="1" applyBorder="1" applyAlignment="1">
      <alignment horizontal="center" vertical="center" wrapText="1"/>
    </xf>
    <xf numFmtId="15" fontId="20" fillId="0" borderId="4" xfId="0" applyNumberFormat="1" applyFont="1" applyFill="1" applyBorder="1" applyAlignment="1">
      <alignment horizontal="center" vertical="center" wrapText="1"/>
    </xf>
    <xf numFmtId="15" fontId="21" fillId="0" borderId="4" xfId="1" applyNumberFormat="1" applyFont="1" applyFill="1" applyBorder="1" applyAlignment="1" applyProtection="1">
      <alignment horizontal="center" vertical="center" wrapText="1"/>
      <protection locked="0"/>
    </xf>
    <xf numFmtId="43" fontId="7" fillId="0" borderId="0" xfId="1" applyFont="1" applyFill="1" applyAlignment="1">
      <alignment horizontal="right"/>
    </xf>
    <xf numFmtId="0" fontId="24" fillId="0" borderId="0" xfId="4" applyFont="1" applyFill="1" applyBorder="1" applyAlignment="1">
      <alignment horizontal="center" vertical="center"/>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ill="1" applyBorder="1" applyAlignment="1">
      <alignment horizontal="center" vertical="center"/>
    </xf>
    <xf numFmtId="4" fontId="14" fillId="0" borderId="0" xfId="1" applyNumberFormat="1" applyFont="1" applyFill="1" applyBorder="1" applyAlignment="1">
      <alignment horizontal="center" vertical="center"/>
    </xf>
    <xf numFmtId="165" fontId="14" fillId="0" borderId="0" xfId="1" applyNumberFormat="1" applyFont="1" applyFill="1" applyBorder="1" applyAlignment="1">
      <alignment horizontal="center" vertical="center"/>
    </xf>
    <xf numFmtId="4" fontId="0" fillId="0" borderId="0" xfId="0" applyNumberFormat="1" applyFill="1" applyBorder="1"/>
    <xf numFmtId="165" fontId="5" fillId="0" borderId="0" xfId="2" applyNumberFormat="1" applyFont="1" applyFill="1" applyBorder="1" applyAlignment="1" applyProtection="1">
      <alignment horizontal="center" vertical="center" wrapText="1"/>
      <protection locked="0"/>
    </xf>
    <xf numFmtId="0" fontId="10" fillId="0" borderId="0" xfId="0" applyFont="1" applyFill="1" applyBorder="1" applyAlignment="1">
      <alignment wrapText="1"/>
    </xf>
    <xf numFmtId="0" fontId="8" fillId="0" borderId="0" xfId="0" applyFont="1" applyFill="1" applyBorder="1" applyAlignment="1">
      <alignment horizontal="left"/>
    </xf>
    <xf numFmtId="0" fontId="0" fillId="0" borderId="0" xfId="0" applyFill="1" applyBorder="1"/>
    <xf numFmtId="0" fontId="8" fillId="0" borderId="0" xfId="0" applyFont="1" applyFill="1" applyBorder="1" applyAlignment="1">
      <alignment horizontal="right"/>
    </xf>
    <xf numFmtId="0" fontId="21" fillId="0" borderId="3" xfId="0" applyFont="1" applyFill="1" applyBorder="1" applyAlignment="1" applyProtection="1">
      <alignment horizontal="center" vertical="center" wrapText="1"/>
      <protection locked="0"/>
    </xf>
    <xf numFmtId="43" fontId="15" fillId="0" borderId="3" xfId="1" applyFont="1" applyFill="1" applyBorder="1" applyAlignment="1" applyProtection="1">
      <alignment horizontal="right" vertical="center" wrapText="1"/>
      <protection locked="0"/>
    </xf>
    <xf numFmtId="43" fontId="13" fillId="0" borderId="0" xfId="1" applyFont="1" applyFill="1" applyBorder="1" applyAlignment="1" applyProtection="1">
      <alignment horizontal="right" vertical="center" wrapText="1"/>
      <protection locked="0"/>
    </xf>
    <xf numFmtId="43" fontId="13" fillId="3" borderId="0" xfId="1" applyFont="1" applyFill="1" applyBorder="1" applyAlignment="1" applyProtection="1">
      <alignment horizontal="right" vertical="center" wrapText="1"/>
      <protection locked="0"/>
    </xf>
    <xf numFmtId="43" fontId="13" fillId="0" borderId="3" xfId="1" applyFont="1" applyFill="1" applyBorder="1" applyAlignment="1" applyProtection="1">
      <alignment horizontal="center" vertical="center" wrapText="1"/>
      <protection locked="0"/>
    </xf>
    <xf numFmtId="43" fontId="13" fillId="0" borderId="3" xfId="1" applyFont="1" applyFill="1" applyBorder="1" applyAlignment="1">
      <alignment horizontal="center"/>
    </xf>
    <xf numFmtId="43" fontId="5" fillId="4" borderId="13" xfId="1" applyFont="1" applyFill="1" applyBorder="1" applyAlignment="1">
      <alignment horizontal="left" vertical="center"/>
    </xf>
    <xf numFmtId="0" fontId="5" fillId="0" borderId="13" xfId="4" applyFont="1" applyFill="1" applyBorder="1" applyAlignment="1">
      <alignment horizontal="center" vertical="center"/>
    </xf>
    <xf numFmtId="43" fontId="5" fillId="0" borderId="13" xfId="1" applyFont="1" applyFill="1" applyBorder="1" applyAlignment="1">
      <alignment horizontal="center" vertical="center"/>
    </xf>
    <xf numFmtId="0" fontId="5" fillId="9" borderId="18" xfId="0" applyFont="1" applyFill="1" applyBorder="1" applyAlignment="1">
      <alignment horizontal="left" vertical="center" wrapText="1"/>
    </xf>
    <xf numFmtId="0" fontId="5" fillId="9" borderId="19" xfId="0" applyFont="1" applyFill="1" applyBorder="1" applyAlignment="1">
      <alignment horizontal="center"/>
    </xf>
    <xf numFmtId="0" fontId="5" fillId="9" borderId="18" xfId="0" applyFont="1" applyFill="1" applyBorder="1" applyAlignment="1">
      <alignment horizontal="center" vertical="center"/>
    </xf>
    <xf numFmtId="43" fontId="5" fillId="4" borderId="16" xfId="1" applyFont="1" applyFill="1" applyBorder="1" applyAlignment="1">
      <alignment horizontal="left" vertical="center"/>
    </xf>
    <xf numFmtId="0" fontId="5" fillId="0" borderId="16" xfId="4" applyFont="1" applyFill="1" applyBorder="1" applyAlignment="1">
      <alignment horizontal="center" vertical="center"/>
    </xf>
    <xf numFmtId="43" fontId="5" fillId="0" borderId="16" xfId="1" applyFont="1" applyFill="1" applyBorder="1" applyAlignment="1">
      <alignment horizontal="center" vertical="center"/>
    </xf>
    <xf numFmtId="0" fontId="4" fillId="9" borderId="23" xfId="0" applyFont="1" applyFill="1" applyBorder="1"/>
    <xf numFmtId="0" fontId="5" fillId="9" borderId="23" xfId="0" applyFont="1" applyFill="1" applyBorder="1" applyAlignment="1">
      <alignment horizontal="center" vertical="center" wrapText="1"/>
    </xf>
    <xf numFmtId="0" fontId="5" fillId="9" borderId="23" xfId="0" applyFont="1" applyFill="1" applyBorder="1" applyAlignment="1">
      <alignment horizontal="left" vertical="center" wrapText="1"/>
    </xf>
    <xf numFmtId="0" fontId="5" fillId="9" borderId="23" xfId="0" applyFont="1" applyFill="1" applyBorder="1" applyAlignment="1">
      <alignment horizontal="center"/>
    </xf>
    <xf numFmtId="0" fontId="5" fillId="9" borderId="23" xfId="0" applyFont="1" applyFill="1" applyBorder="1" applyAlignment="1">
      <alignment horizontal="center" vertical="center"/>
    </xf>
    <xf numFmtId="0" fontId="5" fillId="10" borderId="17" xfId="0" applyFont="1" applyFill="1" applyBorder="1" applyAlignment="1">
      <alignment horizontal="center" vertical="center" wrapText="1"/>
    </xf>
    <xf numFmtId="0" fontId="4" fillId="10" borderId="20" xfId="0" applyFont="1" applyFill="1" applyBorder="1"/>
    <xf numFmtId="0" fontId="5" fillId="10" borderId="20" xfId="0" applyFont="1" applyFill="1" applyBorder="1" applyAlignment="1">
      <alignment horizontal="center" vertical="center" wrapText="1"/>
    </xf>
    <xf numFmtId="0" fontId="5" fillId="10" borderId="20" xfId="0" applyFont="1" applyFill="1" applyBorder="1" applyAlignment="1">
      <alignment horizontal="left" vertical="center" wrapText="1"/>
    </xf>
    <xf numFmtId="0" fontId="5" fillId="5" borderId="0" xfId="0" applyFont="1" applyFill="1" applyBorder="1" applyAlignment="1">
      <alignment horizontal="center" vertical="center" wrapText="1"/>
    </xf>
    <xf numFmtId="0" fontId="5" fillId="7" borderId="21" xfId="4" applyFont="1" applyFill="1" applyBorder="1" applyAlignment="1">
      <alignment horizontal="center"/>
    </xf>
    <xf numFmtId="0" fontId="6" fillId="7" borderId="2" xfId="4" applyFont="1" applyFill="1" applyBorder="1"/>
    <xf numFmtId="0" fontId="5" fillId="7" borderId="2" xfId="4" applyFont="1" applyFill="1" applyBorder="1" applyAlignment="1">
      <alignment horizontal="center"/>
    </xf>
    <xf numFmtId="0" fontId="5" fillId="7" borderId="2" xfId="4" applyFont="1" applyFill="1" applyBorder="1" applyAlignment="1">
      <alignment horizontal="left"/>
    </xf>
    <xf numFmtId="0" fontId="5" fillId="12" borderId="24" xfId="4" applyFont="1" applyFill="1" applyBorder="1" applyAlignment="1">
      <alignment horizontal="center" vertical="center"/>
    </xf>
    <xf numFmtId="0" fontId="6" fillId="12" borderId="25" xfId="4" applyFont="1" applyFill="1" applyBorder="1"/>
    <xf numFmtId="0" fontId="5" fillId="12" borderId="25" xfId="4" applyFont="1" applyFill="1" applyBorder="1" applyAlignment="1">
      <alignment horizontal="center" vertical="center"/>
    </xf>
    <xf numFmtId="0" fontId="5" fillId="12" borderId="25" xfId="4" applyFont="1" applyFill="1" applyBorder="1" applyAlignment="1">
      <alignment horizontal="left" vertical="center"/>
    </xf>
    <xf numFmtId="0" fontId="5" fillId="13" borderId="14" xfId="4" applyFont="1" applyFill="1" applyBorder="1" applyAlignment="1">
      <alignment horizontal="center" vertical="center"/>
    </xf>
    <xf numFmtId="0" fontId="6" fillId="13" borderId="0" xfId="4" applyFont="1" applyFill="1"/>
    <xf numFmtId="0" fontId="5" fillId="13" borderId="0" xfId="4" applyFont="1" applyFill="1" applyBorder="1" applyAlignment="1">
      <alignment horizontal="right" vertical="center"/>
    </xf>
    <xf numFmtId="0" fontId="5" fillId="13" borderId="0" xfId="4" applyFont="1" applyFill="1" applyBorder="1" applyAlignment="1">
      <alignment horizontal="left" vertical="center"/>
    </xf>
    <xf numFmtId="0" fontId="5" fillId="13" borderId="0" xfId="4" applyFont="1" applyFill="1" applyBorder="1" applyAlignment="1">
      <alignment horizontal="center" vertical="center"/>
    </xf>
    <xf numFmtId="0" fontId="6" fillId="13" borderId="0" xfId="4" applyFont="1" applyFill="1" applyBorder="1"/>
    <xf numFmtId="0" fontId="5" fillId="9" borderId="19" xfId="0" applyFont="1" applyFill="1" applyBorder="1" applyAlignment="1">
      <alignment horizontal="center" vertical="center" wrapText="1"/>
    </xf>
    <xf numFmtId="0" fontId="5" fillId="0" borderId="28" xfId="4" applyFont="1" applyFill="1" applyBorder="1" applyAlignment="1">
      <alignment horizontal="center" vertical="center"/>
    </xf>
    <xf numFmtId="0" fontId="5" fillId="0" borderId="15" xfId="4" applyFont="1" applyFill="1" applyBorder="1" applyAlignment="1">
      <alignment horizontal="center" vertical="center"/>
    </xf>
    <xf numFmtId="0" fontId="5" fillId="5" borderId="18"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27" fillId="5" borderId="19" xfId="0" applyFont="1" applyFill="1" applyBorder="1" applyAlignment="1">
      <alignment horizontal="center"/>
    </xf>
    <xf numFmtId="0" fontId="5" fillId="5" borderId="18" xfId="0" applyFont="1" applyFill="1" applyBorder="1" applyAlignment="1">
      <alignment horizontal="center"/>
    </xf>
    <xf numFmtId="0" fontId="5" fillId="5" borderId="19" xfId="0" applyFont="1" applyFill="1" applyBorder="1" applyAlignment="1">
      <alignment horizontal="center"/>
    </xf>
    <xf numFmtId="0" fontId="4" fillId="5" borderId="0" xfId="0" applyFont="1" applyFill="1"/>
    <xf numFmtId="0" fontId="27" fillId="5" borderId="0" xfId="0" applyFont="1" applyFill="1" applyBorder="1" applyAlignment="1">
      <alignment horizontal="center"/>
    </xf>
    <xf numFmtId="0" fontId="5" fillId="5" borderId="0" xfId="0" applyFont="1" applyFill="1" applyBorder="1" applyAlignment="1">
      <alignment horizontal="center"/>
    </xf>
    <xf numFmtId="43" fontId="5" fillId="5" borderId="18" xfId="1" applyFont="1" applyFill="1" applyBorder="1" applyAlignment="1">
      <alignment horizontal="center" vertical="center" wrapText="1"/>
    </xf>
    <xf numFmtId="43" fontId="5" fillId="9" borderId="18" xfId="1" applyFont="1" applyFill="1" applyBorder="1" applyAlignment="1">
      <alignment horizontal="center" vertical="center" wrapText="1"/>
    </xf>
    <xf numFmtId="0" fontId="23" fillId="9" borderId="4" xfId="0" applyFont="1" applyFill="1" applyBorder="1" applyAlignment="1">
      <alignment horizontal="center" vertical="center"/>
    </xf>
    <xf numFmtId="0" fontId="24" fillId="9" borderId="3" xfId="0" applyFont="1" applyFill="1" applyBorder="1" applyAlignment="1" applyProtection="1">
      <alignment vertical="center" wrapText="1"/>
    </xf>
    <xf numFmtId="0" fontId="24" fillId="9" borderId="3" xfId="0" applyFont="1" applyFill="1" applyBorder="1" applyAlignment="1">
      <alignment horizontal="left" vertical="center" wrapText="1"/>
    </xf>
    <xf numFmtId="0" fontId="25" fillId="9" borderId="3" xfId="0" applyFont="1" applyFill="1" applyBorder="1" applyAlignment="1">
      <alignment horizontal="left" vertical="center" wrapText="1"/>
    </xf>
    <xf numFmtId="9" fontId="15" fillId="9" borderId="4" xfId="3" applyFont="1" applyFill="1" applyBorder="1" applyAlignment="1" applyProtection="1">
      <alignment horizontal="center" vertical="center" wrapText="1"/>
      <protection locked="0"/>
    </xf>
    <xf numFmtId="43" fontId="15" fillId="9" borderId="4" xfId="1" applyFont="1" applyFill="1" applyBorder="1" applyAlignment="1" applyProtection="1">
      <alignment horizontal="right" vertical="center" wrapText="1"/>
      <protection locked="0"/>
    </xf>
    <xf numFmtId="43" fontId="15" fillId="9" borderId="4" xfId="1" applyFont="1" applyFill="1" applyBorder="1" applyAlignment="1" applyProtection="1">
      <alignment horizontal="center" vertical="center" wrapText="1"/>
      <protection locked="0"/>
    </xf>
    <xf numFmtId="0" fontId="23" fillId="9" borderId="4" xfId="0" quotePrefix="1" applyFont="1" applyFill="1" applyBorder="1" applyAlignment="1">
      <alignment horizontal="center" vertical="center"/>
    </xf>
    <xf numFmtId="0" fontId="24" fillId="9" borderId="6" xfId="0" applyFont="1" applyFill="1" applyBorder="1" applyAlignment="1" applyProtection="1">
      <alignment vertical="center" wrapText="1"/>
    </xf>
    <xf numFmtId="0" fontId="24" fillId="9" borderId="3" xfId="4" applyFont="1" applyFill="1" applyBorder="1" applyAlignment="1">
      <alignment horizontal="center" vertical="center" wrapText="1"/>
    </xf>
    <xf numFmtId="0" fontId="23" fillId="9" borderId="3" xfId="0" applyFont="1" applyFill="1" applyBorder="1" applyAlignment="1">
      <alignment horizontal="left" vertical="center" wrapText="1"/>
    </xf>
    <xf numFmtId="43" fontId="15" fillId="9" borderId="3" xfId="1" applyFont="1" applyFill="1" applyBorder="1" applyAlignment="1">
      <alignment horizontal="right" vertical="center"/>
    </xf>
    <xf numFmtId="0" fontId="24" fillId="9" borderId="7" xfId="0" applyFont="1" applyFill="1" applyBorder="1" applyAlignment="1">
      <alignment horizontal="left" vertical="center" wrapText="1"/>
    </xf>
    <xf numFmtId="0" fontId="23" fillId="9" borderId="6" xfId="0" applyFont="1" applyFill="1" applyBorder="1" applyAlignment="1">
      <alignment horizontal="left" vertical="center" wrapText="1"/>
    </xf>
    <xf numFmtId="165" fontId="15" fillId="9" borderId="4" xfId="2" applyNumberFormat="1" applyFont="1" applyFill="1" applyBorder="1" applyAlignment="1" applyProtection="1">
      <alignment horizontal="center" vertical="center" wrapText="1"/>
      <protection locked="0"/>
    </xf>
    <xf numFmtId="172" fontId="24" fillId="9" borderId="3" xfId="5" applyNumberFormat="1" applyFont="1" applyFill="1" applyBorder="1" applyAlignment="1" applyProtection="1">
      <alignment horizontal="left" vertical="center" wrapText="1"/>
      <protection locked="0"/>
    </xf>
    <xf numFmtId="1" fontId="24" fillId="9" borderId="4" xfId="5" applyNumberFormat="1" applyFont="1" applyFill="1" applyBorder="1" applyAlignment="1" applyProtection="1">
      <alignment horizontal="left" vertical="center" wrapText="1"/>
      <protection locked="0"/>
    </xf>
    <xf numFmtId="4" fontId="24" fillId="9" borderId="6" xfId="2" applyNumberFormat="1" applyFont="1" applyFill="1" applyBorder="1" applyAlignment="1" applyProtection="1">
      <alignment horizontal="left" vertical="center" wrapText="1"/>
      <protection locked="0"/>
    </xf>
    <xf numFmtId="0" fontId="23" fillId="9" borderId="4" xfId="0" applyFont="1" applyFill="1" applyBorder="1" applyAlignment="1">
      <alignment horizontal="left" vertical="center" wrapText="1"/>
    </xf>
    <xf numFmtId="0" fontId="24" fillId="9" borderId="10" xfId="0" applyFont="1" applyFill="1" applyBorder="1" applyAlignment="1">
      <alignment horizontal="left" vertical="center" wrapText="1"/>
    </xf>
    <xf numFmtId="0" fontId="24" fillId="9" borderId="0" xfId="0" applyFont="1" applyFill="1" applyBorder="1" applyAlignment="1" applyProtection="1">
      <alignment vertical="center" wrapText="1"/>
    </xf>
    <xf numFmtId="0" fontId="23" fillId="9" borderId="0" xfId="0" applyFont="1" applyFill="1" applyAlignment="1">
      <alignment horizontal="left" vertical="center" wrapText="1"/>
    </xf>
    <xf numFmtId="43" fontId="15" fillId="9" borderId="3" xfId="1" applyFont="1" applyFill="1" applyBorder="1" applyAlignment="1">
      <alignment horizontal="center" vertical="center" wrapText="1"/>
    </xf>
    <xf numFmtId="0" fontId="23" fillId="9" borderId="4" xfId="0" applyFont="1" applyFill="1" applyBorder="1" applyAlignment="1" applyProtection="1">
      <alignment horizontal="left" vertical="center" wrapText="1"/>
      <protection locked="0"/>
    </xf>
    <xf numFmtId="0" fontId="25" fillId="9" borderId="11" xfId="0" applyFont="1" applyFill="1" applyBorder="1" applyAlignment="1">
      <alignment horizontal="left" vertical="center" wrapText="1"/>
    </xf>
    <xf numFmtId="0" fontId="23" fillId="9" borderId="4" xfId="0" applyFont="1" applyFill="1" applyBorder="1" applyAlignment="1">
      <alignment horizontal="center" vertical="center" wrapText="1"/>
    </xf>
    <xf numFmtId="0" fontId="24" fillId="9" borderId="0" xfId="0" applyFont="1" applyFill="1" applyAlignment="1">
      <alignment horizontal="left" vertical="center"/>
    </xf>
    <xf numFmtId="0" fontId="24" fillId="9" borderId="5" xfId="0" applyFont="1" applyFill="1" applyBorder="1" applyAlignment="1">
      <alignment horizontal="left" vertical="center" wrapText="1"/>
    </xf>
    <xf numFmtId="0" fontId="23" fillId="9" borderId="5" xfId="0" applyFont="1" applyFill="1" applyBorder="1" applyAlignment="1">
      <alignment horizontal="left" vertical="center" wrapText="1"/>
    </xf>
    <xf numFmtId="0" fontId="24" fillId="9" borderId="4" xfId="4" applyFont="1" applyFill="1" applyBorder="1" applyAlignment="1">
      <alignment horizontal="center" vertical="center" wrapText="1"/>
    </xf>
    <xf numFmtId="0" fontId="23" fillId="9" borderId="3" xfId="0" applyFont="1" applyFill="1" applyBorder="1" applyAlignment="1" applyProtection="1">
      <alignment vertical="center" wrapText="1"/>
    </xf>
    <xf numFmtId="0" fontId="23" fillId="9" borderId="3" xfId="0" applyFont="1" applyFill="1" applyBorder="1" applyAlignment="1">
      <alignment horizontal="center" vertical="center"/>
    </xf>
    <xf numFmtId="9" fontId="15" fillId="9" borderId="3" xfId="3" applyFont="1" applyFill="1" applyBorder="1" applyAlignment="1" applyProtection="1">
      <alignment horizontal="center" vertical="center" wrapText="1"/>
      <protection locked="0"/>
    </xf>
    <xf numFmtId="43" fontId="15" fillId="9" borderId="3" xfId="1" applyFont="1" applyFill="1" applyBorder="1" applyAlignment="1" applyProtection="1">
      <alignment horizontal="right" vertical="center" wrapText="1"/>
      <protection locked="0"/>
    </xf>
    <xf numFmtId="43" fontId="15" fillId="9" borderId="3" xfId="1" applyFont="1" applyFill="1" applyBorder="1" applyAlignment="1" applyProtection="1">
      <alignment horizontal="center" vertical="center" wrapText="1"/>
      <protection locked="0"/>
    </xf>
    <xf numFmtId="0" fontId="23" fillId="11" borderId="4" xfId="0" applyFont="1" applyFill="1" applyBorder="1" applyAlignment="1">
      <alignment horizontal="center" vertical="center"/>
    </xf>
    <xf numFmtId="0" fontId="24" fillId="11" borderId="3" xfId="0" applyFont="1" applyFill="1" applyBorder="1" applyAlignment="1" applyProtection="1">
      <alignment vertical="center" wrapText="1"/>
    </xf>
    <xf numFmtId="0" fontId="25" fillId="11" borderId="3" xfId="0" applyFont="1" applyFill="1" applyBorder="1" applyAlignment="1">
      <alignment horizontal="left" vertical="center" wrapText="1"/>
    </xf>
    <xf numFmtId="9" fontId="15" fillId="11" borderId="4" xfId="3" applyFont="1" applyFill="1" applyBorder="1" applyAlignment="1" applyProtection="1">
      <alignment horizontal="center" vertical="center" wrapText="1"/>
      <protection locked="0"/>
    </xf>
    <xf numFmtId="43" fontId="15" fillId="11" borderId="4" xfId="1" applyFont="1" applyFill="1" applyBorder="1" applyAlignment="1" applyProtection="1">
      <alignment horizontal="right" vertical="center" wrapText="1"/>
      <protection locked="0"/>
    </xf>
    <xf numFmtId="0" fontId="24" fillId="11" borderId="3" xfId="4" applyFont="1" applyFill="1" applyBorder="1" applyAlignment="1">
      <alignment horizontal="center" vertical="center" wrapText="1"/>
    </xf>
    <xf numFmtId="0" fontId="24" fillId="11" borderId="6" xfId="0" applyFont="1" applyFill="1" applyBorder="1" applyAlignment="1" applyProtection="1">
      <alignment vertical="center" wrapText="1"/>
    </xf>
    <xf numFmtId="0" fontId="23" fillId="11" borderId="3" xfId="0" applyFont="1" applyFill="1" applyBorder="1" applyAlignment="1">
      <alignment horizontal="left" vertical="center" wrapText="1"/>
    </xf>
    <xf numFmtId="165" fontId="15" fillId="11" borderId="4" xfId="2" applyNumberFormat="1" applyFont="1" applyFill="1" applyBorder="1" applyAlignment="1" applyProtection="1">
      <alignment horizontal="center" vertical="center" wrapText="1"/>
      <protection locked="0"/>
    </xf>
    <xf numFmtId="0" fontId="23" fillId="10" borderId="4" xfId="0" applyFont="1" applyFill="1" applyBorder="1" applyAlignment="1">
      <alignment horizontal="center" vertical="center"/>
    </xf>
    <xf numFmtId="0" fontId="24" fillId="10" borderId="3" xfId="0" applyFont="1" applyFill="1" applyBorder="1" applyAlignment="1" applyProtection="1">
      <alignment vertical="center" wrapText="1"/>
    </xf>
    <xf numFmtId="0" fontId="24" fillId="10" borderId="3" xfId="0" applyFont="1" applyFill="1" applyBorder="1" applyAlignment="1">
      <alignment horizontal="left" vertical="center" wrapText="1"/>
    </xf>
    <xf numFmtId="0" fontId="25" fillId="10" borderId="3" xfId="0" applyFont="1" applyFill="1" applyBorder="1" applyAlignment="1">
      <alignment horizontal="left" vertical="center" wrapText="1"/>
    </xf>
    <xf numFmtId="9" fontId="15" fillId="10" borderId="4" xfId="3" applyFont="1" applyFill="1" applyBorder="1" applyAlignment="1" applyProtection="1">
      <alignment horizontal="center" vertical="center" wrapText="1"/>
      <protection locked="0"/>
    </xf>
    <xf numFmtId="43" fontId="15" fillId="10" borderId="4" xfId="1" applyFont="1" applyFill="1" applyBorder="1" applyAlignment="1" applyProtection="1">
      <alignment horizontal="right" vertical="center" wrapText="1"/>
      <protection locked="0"/>
    </xf>
    <xf numFmtId="43" fontId="15" fillId="10" borderId="4" xfId="1" applyFont="1" applyFill="1" applyBorder="1" applyAlignment="1" applyProtection="1">
      <alignment horizontal="center" vertical="center" wrapText="1"/>
      <protection locked="0"/>
    </xf>
    <xf numFmtId="0" fontId="24" fillId="10" borderId="3" xfId="4" applyFont="1" applyFill="1" applyBorder="1" applyAlignment="1">
      <alignment horizontal="center" vertical="center" wrapText="1"/>
    </xf>
    <xf numFmtId="0" fontId="24" fillId="10" borderId="6" xfId="0" applyFont="1" applyFill="1" applyBorder="1" applyAlignment="1" applyProtection="1">
      <alignment vertical="center" wrapText="1"/>
    </xf>
    <xf numFmtId="0" fontId="23" fillId="10" borderId="3" xfId="0" applyFont="1" applyFill="1" applyBorder="1" applyAlignment="1">
      <alignment horizontal="left" vertical="center" wrapText="1"/>
    </xf>
    <xf numFmtId="165" fontId="15" fillId="10" borderId="4" xfId="2" applyNumberFormat="1" applyFont="1" applyFill="1" applyBorder="1" applyAlignment="1" applyProtection="1">
      <alignment horizontal="center" vertical="center" wrapText="1"/>
      <protection locked="0"/>
    </xf>
    <xf numFmtId="0" fontId="23" fillId="10" borderId="6" xfId="0" applyFont="1" applyFill="1" applyBorder="1" applyAlignment="1">
      <alignment vertical="center" wrapText="1"/>
    </xf>
    <xf numFmtId="0" fontId="23" fillId="10" borderId="7" xfId="0" applyFont="1" applyFill="1" applyBorder="1" applyAlignment="1">
      <alignment horizontal="left" vertical="center" wrapText="1"/>
    </xf>
    <xf numFmtId="0" fontId="23" fillId="10" borderId="0" xfId="0" applyFont="1" applyFill="1" applyAlignment="1">
      <alignment horizontal="left" vertical="center" wrapText="1"/>
    </xf>
    <xf numFmtId="0" fontId="25" fillId="10" borderId="3" xfId="0" applyFont="1" applyFill="1" applyBorder="1" applyAlignment="1">
      <alignment horizontal="center" vertical="center" wrapText="1"/>
    </xf>
    <xf numFmtId="0" fontId="23" fillId="10" borderId="6" xfId="0" applyFont="1" applyFill="1" applyBorder="1" applyAlignment="1" applyProtection="1">
      <alignment vertical="center" wrapText="1"/>
    </xf>
    <xf numFmtId="0" fontId="23" fillId="10" borderId="5" xfId="0" applyFont="1" applyFill="1" applyBorder="1" applyAlignment="1">
      <alignment horizontal="left" vertical="center" wrapText="1"/>
    </xf>
    <xf numFmtId="0" fontId="24" fillId="10" borderId="6" xfId="0" applyFont="1" applyFill="1" applyBorder="1" applyAlignment="1">
      <alignment horizontal="left" vertical="center" wrapText="1"/>
    </xf>
    <xf numFmtId="1" fontId="24" fillId="10" borderId="4" xfId="5" applyNumberFormat="1" applyFont="1" applyFill="1" applyBorder="1" applyAlignment="1" applyProtection="1">
      <alignment horizontal="left" vertical="center" wrapText="1"/>
      <protection locked="0"/>
    </xf>
    <xf numFmtId="172" fontId="24" fillId="10" borderId="3" xfId="5" applyNumberFormat="1" applyFont="1" applyFill="1" applyBorder="1" applyAlignment="1" applyProtection="1">
      <alignment horizontal="left" vertical="center" wrapText="1"/>
      <protection locked="0"/>
    </xf>
    <xf numFmtId="0" fontId="25" fillId="10" borderId="0" xfId="0" applyFont="1" applyFill="1" applyAlignment="1">
      <alignment horizontal="left" vertical="center" wrapText="1"/>
    </xf>
    <xf numFmtId="0" fontId="23" fillId="10" borderId="4" xfId="0" applyFont="1" applyFill="1" applyBorder="1" applyAlignment="1">
      <alignment horizontal="center" vertical="center" wrapText="1"/>
    </xf>
    <xf numFmtId="0" fontId="24" fillId="10" borderId="7" xfId="0" applyFont="1" applyFill="1" applyBorder="1" applyAlignment="1">
      <alignment horizontal="left" vertical="center" wrapText="1"/>
    </xf>
    <xf numFmtId="0" fontId="23" fillId="10" borderId="0" xfId="0" applyFont="1" applyFill="1" applyAlignment="1">
      <alignment horizontal="left" vertical="center"/>
    </xf>
    <xf numFmtId="0" fontId="23" fillId="10" borderId="3" xfId="0" applyFont="1" applyFill="1" applyBorder="1" applyAlignment="1" applyProtection="1">
      <alignment vertical="center" wrapText="1"/>
    </xf>
    <xf numFmtId="0" fontId="5" fillId="10" borderId="22" xfId="0" applyFont="1" applyFill="1" applyBorder="1" applyAlignment="1">
      <alignment horizontal="left" vertical="center" wrapText="1"/>
    </xf>
    <xf numFmtId="0" fontId="5" fillId="10" borderId="30" xfId="0" applyFont="1" applyFill="1" applyBorder="1" applyAlignment="1">
      <alignment horizontal="center" vertical="center" wrapText="1"/>
    </xf>
    <xf numFmtId="43" fontId="5" fillId="10" borderId="22" xfId="1" applyFont="1" applyFill="1" applyBorder="1" applyAlignment="1">
      <alignment horizontal="center" vertical="center" wrapText="1"/>
    </xf>
    <xf numFmtId="0" fontId="23" fillId="8" borderId="4" xfId="0" applyFont="1" applyFill="1" applyBorder="1" applyAlignment="1">
      <alignment horizontal="center" vertical="center"/>
    </xf>
    <xf numFmtId="0" fontId="24" fillId="8" borderId="3" xfId="0" applyFont="1" applyFill="1" applyBorder="1" applyAlignment="1" applyProtection="1">
      <alignment vertical="center" wrapText="1"/>
    </xf>
    <xf numFmtId="0" fontId="24" fillId="8" borderId="3" xfId="0" applyFont="1" applyFill="1" applyBorder="1" applyAlignment="1">
      <alignment horizontal="left" vertical="center" wrapText="1"/>
    </xf>
    <xf numFmtId="0" fontId="25" fillId="8" borderId="3" xfId="0" applyFont="1" applyFill="1" applyBorder="1" applyAlignment="1">
      <alignment horizontal="left" vertical="center" wrapText="1"/>
    </xf>
    <xf numFmtId="9" fontId="15" fillId="8" borderId="4" xfId="3" applyFont="1" applyFill="1" applyBorder="1" applyAlignment="1" applyProtection="1">
      <alignment horizontal="center" vertical="center" wrapText="1"/>
      <protection locked="0"/>
    </xf>
    <xf numFmtId="43" fontId="15" fillId="8" borderId="4" xfId="1" applyFont="1" applyFill="1" applyBorder="1" applyAlignment="1" applyProtection="1">
      <alignment horizontal="right" vertical="center" wrapText="1"/>
      <protection locked="0"/>
    </xf>
    <xf numFmtId="43" fontId="15" fillId="8" borderId="4" xfId="1" applyFont="1" applyFill="1" applyBorder="1" applyAlignment="1" applyProtection="1">
      <alignment horizontal="center" vertical="center" wrapText="1"/>
      <protection locked="0"/>
    </xf>
    <xf numFmtId="0" fontId="24" fillId="8" borderId="3" xfId="4" applyFont="1" applyFill="1" applyBorder="1" applyAlignment="1">
      <alignment horizontal="center" vertical="center" wrapText="1"/>
    </xf>
    <xf numFmtId="0" fontId="24" fillId="8" borderId="6" xfId="0" applyFont="1" applyFill="1" applyBorder="1" applyAlignment="1" applyProtection="1">
      <alignment vertical="center" wrapText="1"/>
    </xf>
    <xf numFmtId="0" fontId="23" fillId="8" borderId="3" xfId="0" applyFont="1" applyFill="1" applyBorder="1" applyAlignment="1">
      <alignment horizontal="left" vertical="center" wrapText="1"/>
    </xf>
    <xf numFmtId="165" fontId="15" fillId="8" borderId="4" xfId="2" applyNumberFormat="1" applyFont="1" applyFill="1" applyBorder="1" applyAlignment="1" applyProtection="1">
      <alignment horizontal="center" vertical="center" wrapText="1"/>
      <protection locked="0"/>
    </xf>
    <xf numFmtId="0" fontId="25" fillId="8" borderId="6" xfId="0" applyFont="1" applyFill="1" applyBorder="1" applyAlignment="1" applyProtection="1">
      <alignment vertical="center" wrapText="1"/>
    </xf>
    <xf numFmtId="43" fontId="15" fillId="8" borderId="4" xfId="1" applyFont="1" applyFill="1" applyBorder="1" applyAlignment="1">
      <alignment horizontal="right" vertical="center"/>
    </xf>
    <xf numFmtId="0" fontId="24" fillId="8" borderId="5" xfId="0" applyFont="1" applyFill="1" applyBorder="1" applyAlignment="1">
      <alignment horizontal="left" vertical="center" wrapText="1"/>
    </xf>
    <xf numFmtId="0" fontId="24" fillId="8" borderId="6" xfId="0" applyFont="1" applyFill="1" applyBorder="1" applyAlignment="1">
      <alignment horizontal="left" vertical="center" wrapText="1"/>
    </xf>
    <xf numFmtId="0" fontId="25" fillId="8" borderId="5" xfId="0" applyFont="1" applyFill="1" applyBorder="1" applyAlignment="1">
      <alignment horizontal="left" vertical="center" wrapText="1"/>
    </xf>
    <xf numFmtId="165" fontId="15" fillId="8" borderId="4" xfId="2" applyNumberFormat="1" applyFont="1" applyFill="1" applyBorder="1" applyAlignment="1" applyProtection="1">
      <alignment horizontal="left" vertical="center" wrapText="1"/>
      <protection locked="0"/>
    </xf>
    <xf numFmtId="1" fontId="24" fillId="8" borderId="6" xfId="5" applyNumberFormat="1" applyFont="1" applyFill="1" applyBorder="1" applyAlignment="1">
      <alignment horizontal="left" vertical="center" wrapText="1"/>
    </xf>
    <xf numFmtId="0" fontId="24" fillId="8" borderId="3" xfId="0" applyFont="1" applyFill="1" applyBorder="1" applyAlignment="1" applyProtection="1">
      <alignment horizontal="left" vertical="center" wrapText="1"/>
      <protection locked="0"/>
    </xf>
    <xf numFmtId="0" fontId="24" fillId="8" borderId="4" xfId="4" applyFont="1" applyFill="1" applyBorder="1" applyAlignment="1">
      <alignment horizontal="center" vertical="center" wrapText="1"/>
    </xf>
    <xf numFmtId="0" fontId="23" fillId="8" borderId="5" xfId="0" applyFont="1" applyFill="1" applyBorder="1" applyAlignment="1">
      <alignment horizontal="left" vertical="center" wrapText="1"/>
    </xf>
    <xf numFmtId="0" fontId="23" fillId="8" borderId="4" xfId="0" applyFont="1" applyFill="1" applyBorder="1" applyAlignment="1">
      <alignment horizontal="center" vertical="center" wrapText="1"/>
    </xf>
    <xf numFmtId="0" fontId="25" fillId="8" borderId="3" xfId="0" applyFont="1" applyFill="1" applyBorder="1" applyAlignment="1" applyProtection="1">
      <alignment vertical="center" wrapText="1"/>
    </xf>
    <xf numFmtId="0" fontId="5" fillId="8" borderId="21" xfId="4" applyFont="1" applyFill="1" applyBorder="1" applyAlignment="1">
      <alignment horizontal="left"/>
    </xf>
    <xf numFmtId="0" fontId="5" fillId="8" borderId="26" xfId="4" applyFont="1" applyFill="1" applyBorder="1" applyAlignment="1">
      <alignment horizontal="center"/>
    </xf>
    <xf numFmtId="43" fontId="5" fillId="8" borderId="21" xfId="1" applyFont="1" applyFill="1" applyBorder="1" applyAlignment="1">
      <alignment horizontal="center"/>
    </xf>
    <xf numFmtId="0" fontId="5" fillId="14" borderId="24" xfId="4" applyFont="1" applyFill="1" applyBorder="1" applyAlignment="1">
      <alignment horizontal="left" vertical="center"/>
    </xf>
    <xf numFmtId="0" fontId="5" fillId="14" borderId="27" xfId="4" applyFont="1" applyFill="1" applyBorder="1" applyAlignment="1">
      <alignment horizontal="center" vertical="center"/>
    </xf>
    <xf numFmtId="43" fontId="5" fillId="14" borderId="24" xfId="1" applyFont="1" applyFill="1" applyBorder="1" applyAlignment="1">
      <alignment horizontal="center" vertical="center"/>
    </xf>
    <xf numFmtId="0" fontId="23" fillId="14" borderId="4" xfId="0" applyFont="1" applyFill="1" applyBorder="1" applyAlignment="1">
      <alignment horizontal="center" vertical="center"/>
    </xf>
    <xf numFmtId="0" fontId="24" fillId="14" borderId="3" xfId="4" applyFont="1" applyFill="1" applyBorder="1" applyAlignment="1">
      <alignment horizontal="center" vertical="center" wrapText="1"/>
    </xf>
    <xf numFmtId="0" fontId="24" fillId="14" borderId="6" xfId="0" applyFont="1" applyFill="1" applyBorder="1" applyAlignment="1" applyProtection="1">
      <alignment vertical="center" wrapText="1"/>
    </xf>
    <xf numFmtId="0" fontId="23" fillId="14" borderId="3" xfId="0" applyFont="1" applyFill="1" applyBorder="1" applyAlignment="1">
      <alignment horizontal="left" vertical="center" wrapText="1"/>
    </xf>
    <xf numFmtId="165" fontId="15" fillId="14" borderId="4" xfId="2" applyNumberFormat="1" applyFont="1" applyFill="1" applyBorder="1" applyAlignment="1" applyProtection="1">
      <alignment horizontal="center" vertical="center" wrapText="1"/>
      <protection locked="0"/>
    </xf>
    <xf numFmtId="43" fontId="15" fillId="14" borderId="4" xfId="1" applyFont="1" applyFill="1" applyBorder="1" applyAlignment="1" applyProtection="1">
      <alignment horizontal="right" vertical="center" wrapText="1"/>
      <protection locked="0"/>
    </xf>
    <xf numFmtId="43" fontId="15" fillId="14" borderId="4" xfId="1" applyFont="1" applyFill="1" applyBorder="1" applyAlignment="1" applyProtection="1">
      <alignment horizontal="center" vertical="center" wrapText="1"/>
      <protection locked="0"/>
    </xf>
    <xf numFmtId="0" fontId="24" fillId="14" borderId="3" xfId="0" applyFont="1" applyFill="1" applyBorder="1" applyAlignment="1">
      <alignment horizontal="left" vertical="center" wrapText="1"/>
    </xf>
    <xf numFmtId="0" fontId="5" fillId="11" borderId="14" xfId="4" applyFont="1" applyFill="1" applyBorder="1" applyAlignment="1">
      <alignment horizontal="left" vertical="center"/>
    </xf>
    <xf numFmtId="0" fontId="5" fillId="11" borderId="29" xfId="4" applyFont="1" applyFill="1" applyBorder="1" applyAlignment="1">
      <alignment horizontal="center" vertical="center"/>
    </xf>
    <xf numFmtId="43" fontId="5" fillId="11" borderId="14" xfId="1" applyFont="1" applyFill="1" applyBorder="1" applyAlignment="1">
      <alignment horizontal="center" vertical="center"/>
    </xf>
    <xf numFmtId="0" fontId="24" fillId="11" borderId="4" xfId="4" applyFont="1" applyFill="1" applyBorder="1" applyAlignment="1">
      <alignment horizontal="center" vertical="center" wrapText="1"/>
    </xf>
    <xf numFmtId="0" fontId="23" fillId="11" borderId="4" xfId="0" quotePrefix="1" applyFont="1" applyFill="1" applyBorder="1" applyAlignment="1">
      <alignment horizontal="center" vertical="center"/>
    </xf>
    <xf numFmtId="0" fontId="15" fillId="11" borderId="4" xfId="4" applyFont="1" applyFill="1" applyBorder="1" applyAlignment="1">
      <alignment horizontal="right" vertical="center" wrapText="1"/>
    </xf>
    <xf numFmtId="43" fontId="15" fillId="11" borderId="4" xfId="1" applyFont="1" applyFill="1" applyBorder="1" applyAlignment="1">
      <alignment horizontal="center" vertical="center" wrapText="1"/>
    </xf>
    <xf numFmtId="43" fontId="15" fillId="11" borderId="4" xfId="1" applyFont="1" applyFill="1" applyBorder="1" applyAlignment="1">
      <alignment horizontal="right" vertical="center" wrapText="1"/>
    </xf>
    <xf numFmtId="0" fontId="15" fillId="0" borderId="3" xfId="0" applyFont="1" applyFill="1" applyBorder="1" applyAlignment="1">
      <alignment horizontal="center" vertical="center" wrapText="1"/>
    </xf>
    <xf numFmtId="0" fontId="0" fillId="0" borderId="3" xfId="0" applyFill="1" applyBorder="1"/>
    <xf numFmtId="0" fontId="8" fillId="0" borderId="3" xfId="0" applyFont="1" applyFill="1" applyBorder="1" applyAlignment="1">
      <alignment horizontal="left"/>
    </xf>
    <xf numFmtId="0" fontId="26" fillId="0" borderId="0" xfId="0" applyFont="1" applyFill="1" applyAlignment="1">
      <alignment vertical="center"/>
    </xf>
    <xf numFmtId="0" fontId="24" fillId="11" borderId="4" xfId="4" applyFont="1" applyFill="1" applyBorder="1" applyAlignment="1">
      <alignment horizontal="left" vertical="center" wrapText="1"/>
    </xf>
    <xf numFmtId="0" fontId="24" fillId="11" borderId="10" xfId="4" applyFont="1" applyFill="1" applyBorder="1" applyAlignment="1">
      <alignment horizontal="center" vertical="center" wrapText="1"/>
    </xf>
    <xf numFmtId="0" fontId="24" fillId="0" borderId="12" xfId="4" applyFont="1" applyFill="1" applyBorder="1" applyAlignment="1">
      <alignment horizontal="center" vertical="center" wrapText="1"/>
    </xf>
    <xf numFmtId="0" fontId="3" fillId="0" borderId="0" xfId="0" applyFont="1" applyFill="1" applyAlignment="1">
      <alignment horizontal="center" wrapText="1"/>
    </xf>
    <xf numFmtId="0" fontId="18" fillId="6" borderId="0" xfId="0" applyFont="1" applyFill="1" applyAlignment="1">
      <alignment horizontal="center" vertical="center"/>
    </xf>
    <xf numFmtId="0" fontId="0" fillId="6" borderId="0" xfId="0" applyFill="1"/>
    <xf numFmtId="0" fontId="0" fillId="0" borderId="0" xfId="0" applyFill="1" applyAlignment="1">
      <alignment wrapText="1"/>
    </xf>
    <xf numFmtId="43" fontId="24" fillId="9" borderId="4" xfId="1" applyFont="1" applyFill="1" applyBorder="1" applyAlignment="1" applyProtection="1">
      <alignment horizontal="left" vertical="center" wrapText="1"/>
      <protection locked="0"/>
    </xf>
    <xf numFmtId="43" fontId="23" fillId="9" borderId="3" xfId="1" applyFont="1" applyFill="1" applyBorder="1" applyAlignment="1">
      <alignment horizontal="left" vertical="center" wrapText="1"/>
    </xf>
    <xf numFmtId="43" fontId="15" fillId="9" borderId="8" xfId="1" applyFont="1" applyFill="1" applyBorder="1" applyAlignment="1" applyProtection="1">
      <alignment horizontal="right" vertical="center" wrapText="1"/>
      <protection locked="0"/>
    </xf>
    <xf numFmtId="43" fontId="15" fillId="0" borderId="6" xfId="1" applyFont="1" applyFill="1" applyBorder="1" applyAlignment="1" applyProtection="1">
      <alignment horizontal="right" vertical="center" wrapText="1"/>
      <protection locked="0"/>
    </xf>
    <xf numFmtId="0" fontId="0" fillId="0" borderId="31" xfId="0" applyFill="1" applyBorder="1"/>
    <xf numFmtId="43" fontId="15" fillId="0" borderId="31" xfId="1" applyFont="1" applyFill="1" applyBorder="1" applyAlignment="1" applyProtection="1">
      <alignment horizontal="center" vertical="center" wrapText="1"/>
      <protection locked="0"/>
    </xf>
    <xf numFmtId="43" fontId="15" fillId="0" borderId="31" xfId="1" applyFont="1" applyFill="1" applyBorder="1" applyAlignment="1" applyProtection="1">
      <alignment horizontal="right" vertical="center" wrapText="1"/>
      <protection locked="0"/>
    </xf>
    <xf numFmtId="0" fontId="3" fillId="6" borderId="0" xfId="0" applyFont="1" applyFill="1" applyAlignment="1">
      <alignment horizontal="center" vertical="center" wrapText="1"/>
    </xf>
    <xf numFmtId="0" fontId="28" fillId="15" borderId="32" xfId="0" applyFont="1" applyFill="1" applyBorder="1" applyAlignment="1">
      <alignment horizontal="center" vertical="center" wrapText="1"/>
    </xf>
    <xf numFmtId="1" fontId="0" fillId="0" borderId="33" xfId="0" applyNumberFormat="1" applyFont="1" applyBorder="1"/>
    <xf numFmtId="1" fontId="0" fillId="3" borderId="33" xfId="0" applyNumberFormat="1" applyFont="1" applyFill="1" applyBorder="1" applyAlignment="1">
      <alignment horizontal="center" vertical="center"/>
    </xf>
    <xf numFmtId="1" fontId="18" fillId="3" borderId="33" xfId="0" applyNumberFormat="1" applyFont="1" applyFill="1" applyBorder="1" applyAlignment="1">
      <alignment horizontal="center" vertical="center"/>
    </xf>
    <xf numFmtId="0" fontId="18" fillId="0" borderId="33" xfId="0" applyFont="1" applyBorder="1" applyAlignment="1">
      <alignment vertical="center" wrapText="1"/>
    </xf>
    <xf numFmtId="1" fontId="0" fillId="0" borderId="32" xfId="0" applyNumberFormat="1" applyFont="1" applyBorder="1"/>
    <xf numFmtId="1" fontId="0" fillId="3" borderId="32" xfId="0" applyNumberFormat="1" applyFont="1" applyFill="1" applyBorder="1" applyAlignment="1">
      <alignment horizontal="center" vertical="center"/>
    </xf>
    <xf numFmtId="1" fontId="18" fillId="3" borderId="32" xfId="0" applyNumberFormat="1" applyFont="1" applyFill="1" applyBorder="1" applyAlignment="1">
      <alignment horizontal="center" vertical="center"/>
    </xf>
    <xf numFmtId="0" fontId="18" fillId="0" borderId="34" xfId="0" applyFont="1" applyBorder="1" applyAlignment="1">
      <alignment vertical="center" wrapText="1"/>
    </xf>
    <xf numFmtId="0" fontId="18" fillId="0" borderId="32" xfId="0" applyFont="1" applyBorder="1" applyAlignment="1">
      <alignment vertical="center" wrapText="1"/>
    </xf>
    <xf numFmtId="0" fontId="18" fillId="0" borderId="32" xfId="0" applyFont="1" applyBorder="1" applyAlignment="1">
      <alignment wrapText="1"/>
    </xf>
    <xf numFmtId="1" fontId="0" fillId="0" borderId="32" xfId="0" applyNumberFormat="1" applyFont="1" applyBorder="1" applyAlignment="1">
      <alignment horizontal="center" vertical="center"/>
    </xf>
    <xf numFmtId="1" fontId="0" fillId="0" borderId="0" xfId="0" applyNumberFormat="1" applyFont="1" applyBorder="1"/>
    <xf numFmtId="1" fontId="0" fillId="3" borderId="0" xfId="0" applyNumberFormat="1" applyFont="1" applyFill="1" applyBorder="1" applyAlignment="1">
      <alignment horizontal="center" vertical="center"/>
    </xf>
    <xf numFmtId="1" fontId="18" fillId="3" borderId="0" xfId="0" applyNumberFormat="1" applyFont="1" applyFill="1" applyBorder="1" applyAlignment="1">
      <alignment horizontal="center" vertical="center"/>
    </xf>
    <xf numFmtId="0" fontId="18" fillId="0" borderId="0" xfId="0" applyFont="1" applyBorder="1" applyAlignment="1">
      <alignment vertical="center" wrapText="1"/>
    </xf>
    <xf numFmtId="0" fontId="28" fillId="15" borderId="35" xfId="0" applyFont="1" applyFill="1" applyBorder="1" applyAlignment="1">
      <alignment horizontal="center" vertical="center" wrapText="1"/>
    </xf>
    <xf numFmtId="43" fontId="5" fillId="0" borderId="0" xfId="4" applyNumberFormat="1" applyFont="1" applyAlignment="1">
      <alignment vertical="center"/>
    </xf>
    <xf numFmtId="0" fontId="5" fillId="11" borderId="21" xfId="4" applyFont="1" applyFill="1" applyBorder="1" applyAlignment="1">
      <alignment horizontal="left" vertical="center"/>
    </xf>
    <xf numFmtId="0" fontId="5" fillId="11" borderId="26" xfId="4" applyFont="1" applyFill="1" applyBorder="1" applyAlignment="1">
      <alignment horizontal="center" vertical="center"/>
    </xf>
    <xf numFmtId="0" fontId="5" fillId="13" borderId="21" xfId="4" applyFont="1" applyFill="1" applyBorder="1" applyAlignment="1">
      <alignment horizontal="center" vertical="center"/>
    </xf>
    <xf numFmtId="0" fontId="6" fillId="13" borderId="2" xfId="4" applyFont="1" applyFill="1" applyBorder="1"/>
    <xf numFmtId="0" fontId="5" fillId="13" borderId="2" xfId="4" applyFont="1" applyFill="1" applyBorder="1" applyAlignment="1">
      <alignment horizontal="right" vertical="center"/>
    </xf>
    <xf numFmtId="0" fontId="5" fillId="13" borderId="2" xfId="4" applyFont="1" applyFill="1" applyBorder="1" applyAlignment="1">
      <alignment horizontal="left" vertical="center"/>
    </xf>
    <xf numFmtId="0" fontId="5" fillId="13" borderId="2" xfId="4" applyFont="1" applyFill="1" applyBorder="1" applyAlignment="1">
      <alignment horizontal="center" vertical="center"/>
    </xf>
    <xf numFmtId="43" fontId="5" fillId="11" borderId="21" xfId="1" applyFont="1" applyFill="1" applyBorder="1" applyAlignment="1">
      <alignment horizontal="center" vertical="center"/>
    </xf>
    <xf numFmtId="43" fontId="13" fillId="0" borderId="4" xfId="1" applyFont="1" applyFill="1" applyBorder="1" applyAlignment="1">
      <alignment horizontal="center"/>
    </xf>
    <xf numFmtId="0" fontId="18" fillId="0" borderId="0" xfId="0" applyFont="1" applyFill="1" applyAlignment="1">
      <alignment vertical="center"/>
    </xf>
    <xf numFmtId="0" fontId="7" fillId="0" borderId="2" xfId="0" applyFont="1" applyFill="1" applyBorder="1" applyAlignment="1">
      <alignment horizontal="left"/>
    </xf>
    <xf numFmtId="43" fontId="7" fillId="0" borderId="2" xfId="1" applyFont="1" applyFill="1" applyBorder="1" applyAlignment="1">
      <alignment horizontal="right"/>
    </xf>
    <xf numFmtId="0" fontId="26" fillId="0" borderId="2" xfId="0" applyFont="1" applyFill="1" applyBorder="1" applyAlignment="1">
      <alignment vertical="center"/>
    </xf>
    <xf numFmtId="0" fontId="0" fillId="0" borderId="2" xfId="0" applyFill="1" applyBorder="1" applyAlignment="1">
      <alignment vertical="center"/>
    </xf>
    <xf numFmtId="0" fontId="10" fillId="0" borderId="2" xfId="0" applyFont="1" applyFill="1" applyBorder="1" applyAlignment="1">
      <alignment wrapText="1"/>
    </xf>
    <xf numFmtId="0" fontId="8" fillId="0" borderId="2" xfId="0" applyFont="1" applyFill="1" applyBorder="1" applyAlignment="1">
      <alignment horizontal="left"/>
    </xf>
    <xf numFmtId="0" fontId="0" fillId="0" borderId="2" xfId="0" applyFill="1" applyBorder="1"/>
    <xf numFmtId="0" fontId="19" fillId="0" borderId="2" xfId="0" applyFont="1" applyFill="1" applyBorder="1"/>
    <xf numFmtId="0" fontId="8" fillId="0" borderId="2" xfId="0" applyFont="1" applyFill="1" applyBorder="1" applyAlignment="1">
      <alignment horizontal="right"/>
    </xf>
    <xf numFmtId="43" fontId="13" fillId="0" borderId="2" xfId="1" applyFont="1" applyFill="1" applyBorder="1" applyAlignment="1">
      <alignment horizontal="right" vertical="center"/>
    </xf>
    <xf numFmtId="43" fontId="13" fillId="0" borderId="3" xfId="1" applyFont="1" applyFill="1" applyBorder="1" applyAlignment="1">
      <alignment horizontal="center" vertical="center" wrapText="1"/>
    </xf>
    <xf numFmtId="0" fontId="24" fillId="0" borderId="4" xfId="4" applyFont="1" applyFill="1" applyBorder="1" applyAlignment="1">
      <alignment horizontal="left" vertical="center" wrapText="1"/>
    </xf>
    <xf numFmtId="43" fontId="15" fillId="0" borderId="4" xfId="1" applyFont="1" applyFill="1" applyBorder="1" applyAlignment="1">
      <alignment horizontal="right" vertical="center" wrapText="1"/>
    </xf>
    <xf numFmtId="0" fontId="24" fillId="0" borderId="3" xfId="4" applyFont="1" applyFill="1" applyBorder="1" applyAlignment="1">
      <alignment horizontal="center" vertical="center" wrapText="1"/>
    </xf>
    <xf numFmtId="0" fontId="24" fillId="0" borderId="3" xfId="0" applyFont="1" applyFill="1" applyBorder="1" applyAlignment="1" applyProtection="1">
      <alignment vertical="center" wrapText="1"/>
    </xf>
    <xf numFmtId="0" fontId="23" fillId="0" borderId="3" xfId="0" applyFont="1" applyFill="1" applyBorder="1" applyAlignment="1">
      <alignment horizontal="left" vertical="center" wrapText="1"/>
    </xf>
    <xf numFmtId="43" fontId="15" fillId="0" borderId="4" xfId="1" applyFont="1" applyFill="1" applyBorder="1" applyAlignment="1" applyProtection="1">
      <alignment horizontal="right" vertical="center" wrapText="1"/>
      <protection locked="0"/>
    </xf>
    <xf numFmtId="0" fontId="24" fillId="0" borderId="6" xfId="0" applyFont="1" applyFill="1" applyBorder="1" applyAlignment="1" applyProtection="1">
      <alignment vertical="center" wrapText="1"/>
    </xf>
    <xf numFmtId="0" fontId="23" fillId="0" borderId="4" xfId="0" applyFont="1" applyFill="1" applyBorder="1" applyAlignment="1">
      <alignment horizontal="center" vertical="center"/>
    </xf>
    <xf numFmtId="43" fontId="15" fillId="0" borderId="4" xfId="1" applyFont="1" applyFill="1" applyBorder="1" applyAlignment="1">
      <alignment horizontal="justify" vertical="center" wrapText="1"/>
    </xf>
    <xf numFmtId="0" fontId="24" fillId="0" borderId="3" xfId="0" applyFont="1" applyFill="1" applyBorder="1" applyAlignment="1" applyProtection="1">
      <alignment horizontal="left" vertical="center" wrapText="1"/>
    </xf>
    <xf numFmtId="0" fontId="24" fillId="0" borderId="6" xfId="0" applyFont="1" applyFill="1" applyBorder="1" applyAlignment="1" applyProtection="1">
      <alignment horizontal="left" vertical="center" wrapText="1"/>
    </xf>
    <xf numFmtId="43" fontId="15" fillId="0" borderId="4" xfId="1" applyFont="1" applyFill="1" applyBorder="1" applyAlignment="1" applyProtection="1">
      <alignment horizontal="justify" vertical="center" wrapText="1"/>
      <protection locked="0"/>
    </xf>
    <xf numFmtId="49" fontId="15" fillId="0" borderId="4" xfId="1" applyNumberFormat="1" applyFont="1" applyFill="1" applyBorder="1" applyAlignment="1" applyProtection="1">
      <alignment vertical="center" wrapText="1"/>
      <protection locked="0"/>
    </xf>
    <xf numFmtId="49" fontId="15" fillId="0" borderId="3" xfId="1" applyNumberFormat="1" applyFont="1" applyFill="1" applyBorder="1" applyAlignment="1" applyProtection="1">
      <alignment vertical="center" wrapText="1"/>
      <protection locked="0"/>
    </xf>
    <xf numFmtId="49" fontId="15" fillId="0" borderId="4" xfId="1" applyNumberFormat="1" applyFont="1" applyFill="1" applyBorder="1" applyAlignment="1" applyProtection="1">
      <alignment horizontal="justify" vertical="center" wrapText="1"/>
      <protection locked="0"/>
    </xf>
    <xf numFmtId="0" fontId="28" fillId="15" borderId="35" xfId="0" applyFont="1" applyFill="1" applyBorder="1" applyAlignment="1">
      <alignment horizontal="center" vertical="center" wrapText="1"/>
    </xf>
    <xf numFmtId="0" fontId="28" fillId="15" borderId="35" xfId="0" applyFont="1" applyFill="1" applyBorder="1" applyAlignment="1">
      <alignment horizontal="center"/>
    </xf>
    <xf numFmtId="49" fontId="15" fillId="0" borderId="5" xfId="1" applyNumberFormat="1" applyFont="1" applyFill="1" applyBorder="1" applyAlignment="1" applyProtection="1">
      <alignment horizontal="justify" vertical="center" wrapText="1"/>
      <protection locked="0"/>
    </xf>
    <xf numFmtId="49" fontId="15" fillId="0" borderId="10" xfId="1" applyNumberFormat="1" applyFont="1" applyFill="1" applyBorder="1" applyAlignment="1" applyProtection="1">
      <alignment horizontal="justify" vertical="center" wrapText="1"/>
      <protection locked="0"/>
    </xf>
    <xf numFmtId="49" fontId="15" fillId="0" borderId="4" xfId="1" applyNumberFormat="1" applyFont="1" applyFill="1" applyBorder="1" applyAlignment="1" applyProtection="1">
      <alignment horizontal="justify" vertical="center" wrapText="1"/>
      <protection locked="0"/>
    </xf>
  </cellXfs>
  <cellStyles count="25">
    <cellStyle name="_x000b_À_x000d__x0014__x0016_À_x0018__x001a_À_x001d_" xfId="6"/>
    <cellStyle name="Estilo 1" xfId="7"/>
    <cellStyle name="Euro" xfId="8"/>
    <cellStyle name="Millares" xfId="1" builtinId="3"/>
    <cellStyle name="Millares 2" xfId="9"/>
    <cellStyle name="Millares 3" xfId="10"/>
    <cellStyle name="Millares 4" xfId="11"/>
    <cellStyle name="Millares 5" xfId="12"/>
    <cellStyle name="Millares 6" xfId="13"/>
    <cellStyle name="Moneda" xfId="2" builtinId="4"/>
    <cellStyle name="Normal" xfId="0" builtinId="0"/>
    <cellStyle name="Normal 2" xfId="14"/>
    <cellStyle name="Normal 2 2" xfId="4"/>
    <cellStyle name="Normal 3" xfId="15"/>
    <cellStyle name="Normal 4" xfId="16"/>
    <cellStyle name="Normal 5" xfId="17"/>
    <cellStyle name="Normal 6" xfId="18"/>
    <cellStyle name="Normal 7" xfId="19"/>
    <cellStyle name="Normal 8" xfId="20"/>
    <cellStyle name="Normal_Proyeccion_2004_con_renta_2003" xfId="5"/>
    <cellStyle name="Notas 2" xfId="21"/>
    <cellStyle name="Porcentaje" xfId="3" builtinId="5"/>
    <cellStyle name="Porcentaje 2" xfId="22"/>
    <cellStyle name="Porcentual 2" xfId="23"/>
    <cellStyle name="Porcentual 3" xfId="24"/>
  </cellStyles>
  <dxfs count="0"/>
  <tableStyles count="0" defaultTableStyle="TableStyleMedium9" defaultPivotStyle="PivotStyleLight16"/>
  <colors>
    <mruColors>
      <color rgb="FFFFFFCC"/>
      <color rgb="FFFFCCFF"/>
      <color rgb="FFFF99FF"/>
      <color rgb="FFFF9900"/>
      <color rgb="FFCCCCFF"/>
      <color rgb="FF9966FF"/>
      <color rgb="FFFF00FF"/>
      <color rgb="FFFF66FF"/>
      <color rgb="FFFF3399"/>
      <color rgb="FFEDB1E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94947</xdr:colOff>
      <xdr:row>0</xdr:row>
      <xdr:rowOff>228298</xdr:rowOff>
    </xdr:from>
    <xdr:to>
      <xdr:col>2</xdr:col>
      <xdr:colOff>98122</xdr:colOff>
      <xdr:row>4</xdr:row>
      <xdr:rowOff>94493</xdr:rowOff>
    </xdr:to>
    <xdr:pic>
      <xdr:nvPicPr>
        <xdr:cNvPr id="2" name="2 Imagen" descr="imss1.jp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554" y="228298"/>
          <a:ext cx="629104" cy="723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to02438wsmdm6\pagos%202011\Documents%20and%20Settings\marisol.diaz\Mis%20documentos\01%20Divisi&#243;n%20de%20Control%20de%20Seguros\01%20&#193;rea%20de%20Suscripci&#243;n\Nueva%20carpeta%20(2)\Presupuesto\Proyecto%20de%20Ptto%202011%20V.5%20rea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ción Ptto 2011"/>
      <sheetName val="Global 2000-2010"/>
      <sheetName val="Promedio 2000-2010"/>
      <sheetName val="Tabla Gral T.C."/>
      <sheetName val="Patrimonial"/>
      <sheetName val="Contractual"/>
      <sheetName val="Resumen Premisas Ptto"/>
      <sheetName val="Oficio C Inv"/>
      <sheetName val="Oficio Inversiones"/>
      <sheetName val="Proy Obras 2011"/>
      <sheetName val="Estimación OA"/>
      <sheetName val="Valores Asegurables 2010"/>
      <sheetName val="Estimado IMSSP"/>
      <sheetName val="Incremento en Act_Fijo"/>
      <sheetName val="Severidad II"/>
      <sheetName val="Severidad RC"/>
      <sheetName val="Severidad EE"/>
      <sheetName val="Ptto Pòlizas CH y Mandos"/>
      <sheetName val="Escenarios "/>
      <sheetName val="CH VIDA-INV "/>
      <sheetName val="CH DAÑOS"/>
      <sheetName val="Estimación Presupuesto 2010 (2)"/>
      <sheetName val="LISTA"/>
    </sheetNames>
    <sheetDataSet>
      <sheetData sheetId="0">
        <row r="83">
          <cell r="C83">
            <v>0.03</v>
          </cell>
        </row>
        <row r="84">
          <cell r="C84">
            <v>13.1</v>
          </cell>
        </row>
        <row r="85">
          <cell r="C85">
            <v>12.9253</v>
          </cell>
        </row>
      </sheetData>
      <sheetData sheetId="1">
        <row r="114">
          <cell r="B114">
            <v>0.16</v>
          </cell>
        </row>
      </sheetData>
      <sheetData sheetId="2">
        <row r="11">
          <cell r="I11">
            <v>47265154.72771132</v>
          </cell>
        </row>
      </sheetData>
      <sheetData sheetId="3">
        <row r="8">
          <cell r="I8">
            <v>7626903.0033997819</v>
          </cell>
        </row>
      </sheetData>
      <sheetData sheetId="4">
        <row r="8">
          <cell r="I8">
            <v>1857833.5748742633</v>
          </cell>
        </row>
        <row r="114">
          <cell r="B114">
            <v>0.16</v>
          </cell>
        </row>
      </sheetData>
      <sheetData sheetId="5">
        <row r="45">
          <cell r="E45">
            <v>17320201.956319448</v>
          </cell>
        </row>
      </sheetData>
      <sheetData sheetId="6"/>
      <sheetData sheetId="7"/>
      <sheetData sheetId="8"/>
      <sheetData sheetId="9"/>
      <sheetData sheetId="10"/>
      <sheetData sheetId="11"/>
      <sheetData sheetId="12"/>
      <sheetData sheetId="13"/>
      <sheetData sheetId="14">
        <row r="11">
          <cell r="I11">
            <v>47265154.72771132</v>
          </cell>
        </row>
      </sheetData>
      <sheetData sheetId="15">
        <row r="8">
          <cell r="I8">
            <v>7626903.0033997819</v>
          </cell>
        </row>
      </sheetData>
      <sheetData sheetId="16">
        <row r="8">
          <cell r="I8">
            <v>1857833.5748742633</v>
          </cell>
        </row>
      </sheetData>
      <sheetData sheetId="17">
        <row r="45">
          <cell r="E45">
            <v>17320201.956319448</v>
          </cell>
          <cell r="O45">
            <v>13495769.446894519</v>
          </cell>
        </row>
        <row r="47">
          <cell r="AG47">
            <v>20900000</v>
          </cell>
        </row>
      </sheetData>
      <sheetData sheetId="18"/>
      <sheetData sheetId="19"/>
      <sheetData sheetId="20"/>
      <sheetData sheetId="21"/>
      <sheetData sheetId="2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pageSetUpPr fitToPage="1"/>
  </sheetPr>
  <dimension ref="A1:AB790"/>
  <sheetViews>
    <sheetView showGridLines="0" view="pageBreakPreview" topLeftCell="A293" zoomScale="70" zoomScaleNormal="60" zoomScaleSheetLayoutView="70" workbookViewId="0">
      <selection activeCell="E299" sqref="E299:G314"/>
    </sheetView>
  </sheetViews>
  <sheetFormatPr baseColWidth="10" defaultColWidth="11.42578125" defaultRowHeight="18.75" x14ac:dyDescent="0.2"/>
  <cols>
    <col min="1" max="1" width="6" style="40" customWidth="1"/>
    <col min="2" max="2" width="9.42578125" style="51" customWidth="1"/>
    <col min="3" max="3" width="18.5703125" style="22" customWidth="1"/>
    <col min="4" max="4" width="13.7109375" style="22" customWidth="1"/>
    <col min="5" max="5" width="28.7109375" style="23" customWidth="1"/>
    <col min="6" max="6" width="39.7109375" style="20" customWidth="1"/>
    <col min="7" max="7" width="44.85546875" style="20" customWidth="1"/>
    <col min="8" max="8" width="37.7109375" style="20" customWidth="1"/>
    <col min="9" max="9" width="22.85546875" style="19" hidden="1" customWidth="1"/>
    <col min="10" max="10" width="24" style="19" hidden="1" customWidth="1"/>
    <col min="11" max="11" width="18.5703125" style="19" hidden="1" customWidth="1"/>
    <col min="12" max="12" width="25" style="19" hidden="1" customWidth="1"/>
    <col min="13" max="13" width="24" style="19" hidden="1" customWidth="1"/>
    <col min="14" max="14" width="23.140625" style="19" hidden="1" customWidth="1"/>
    <col min="15" max="15" width="18.5703125" style="21" hidden="1" customWidth="1"/>
    <col min="16" max="16" width="24.28515625" style="20" hidden="1" customWidth="1"/>
    <col min="17" max="17" width="18.28515625" style="19" hidden="1" customWidth="1"/>
    <col min="18" max="18" width="21.85546875" style="19" hidden="1" customWidth="1"/>
    <col min="19" max="19" width="18.5703125" style="19" hidden="1" customWidth="1"/>
    <col min="20" max="25" width="25.28515625" style="28" customWidth="1"/>
    <col min="26" max="26" width="23.140625" style="19" hidden="1" customWidth="1"/>
    <col min="27" max="27" width="4.140625" style="19" customWidth="1"/>
    <col min="28" max="28" width="30.85546875" style="19" customWidth="1"/>
    <col min="29" max="33" width="11.42578125" style="19" customWidth="1"/>
    <col min="34" max="16384" width="11.42578125" style="19"/>
  </cols>
  <sheetData>
    <row r="1" spans="1:27" s="4" customFormat="1" x14ac:dyDescent="0.2">
      <c r="A1" s="37"/>
      <c r="B1" s="46"/>
      <c r="C1" s="1"/>
      <c r="D1" s="1"/>
      <c r="E1" s="1"/>
      <c r="F1" s="1"/>
      <c r="U1" s="9"/>
      <c r="V1" s="9"/>
      <c r="W1" s="9"/>
      <c r="X1" s="9"/>
      <c r="Y1" s="9"/>
    </row>
    <row r="2" spans="1:27" s="4" customFormat="1" ht="15.75" customHeight="1" thickBot="1" x14ac:dyDescent="0.3">
      <c r="A2" s="37"/>
      <c r="B2" s="47"/>
      <c r="C2" s="25" t="s">
        <v>1585</v>
      </c>
      <c r="D2" s="5"/>
      <c r="F2" s="6"/>
      <c r="G2" s="44"/>
      <c r="H2" s="44"/>
      <c r="I2" s="57"/>
      <c r="O2" s="6"/>
      <c r="P2" s="7"/>
      <c r="Q2" s="6"/>
      <c r="T2" s="7"/>
      <c r="U2" s="7"/>
      <c r="V2" s="7"/>
      <c r="W2" s="7"/>
      <c r="X2" s="7"/>
      <c r="Y2" s="7"/>
    </row>
    <row r="3" spans="1:27" s="4" customFormat="1" ht="15.75" customHeight="1" thickBot="1" x14ac:dyDescent="0.3">
      <c r="A3" s="37"/>
      <c r="B3" s="47"/>
      <c r="C3" s="26" t="s">
        <v>1586</v>
      </c>
      <c r="D3" s="5"/>
      <c r="F3" s="8"/>
      <c r="G3" s="208" t="s">
        <v>1408</v>
      </c>
      <c r="H3" s="209" t="s">
        <v>1579</v>
      </c>
      <c r="I3" s="210" t="s">
        <v>1407</v>
      </c>
      <c r="J3" s="211" t="s">
        <v>1417</v>
      </c>
      <c r="K3" s="212" t="s">
        <v>1418</v>
      </c>
      <c r="L3" s="213"/>
      <c r="M3" s="213"/>
      <c r="N3" s="190"/>
      <c r="O3" s="190"/>
      <c r="P3" s="214"/>
      <c r="Q3" s="215"/>
      <c r="R3" s="215"/>
      <c r="S3" s="213"/>
      <c r="T3" s="216" t="s">
        <v>1580</v>
      </c>
      <c r="U3" s="9"/>
      <c r="V3" s="9"/>
      <c r="W3" s="9"/>
      <c r="X3" s="9"/>
      <c r="Y3" s="9"/>
    </row>
    <row r="4" spans="1:27" s="4" customFormat="1" ht="15.75" customHeight="1" x14ac:dyDescent="0.25">
      <c r="A4" s="37"/>
      <c r="B4" s="47"/>
      <c r="C4" s="26" t="s">
        <v>1584</v>
      </c>
      <c r="D4" s="5"/>
      <c r="F4" s="8"/>
      <c r="G4" s="175" t="s">
        <v>1391</v>
      </c>
      <c r="H4" s="205">
        <v>118</v>
      </c>
      <c r="I4" s="176"/>
      <c r="J4" s="177"/>
      <c r="K4" s="177"/>
      <c r="L4" s="181"/>
      <c r="M4" s="181"/>
      <c r="N4" s="182"/>
      <c r="O4" s="183"/>
      <c r="P4" s="184"/>
      <c r="Q4" s="185"/>
      <c r="R4" s="185"/>
      <c r="S4" s="181"/>
      <c r="T4" s="217">
        <v>160353297.34999999</v>
      </c>
      <c r="U4" s="9"/>
      <c r="V4" s="9"/>
      <c r="W4" s="9"/>
      <c r="X4" s="9"/>
      <c r="Y4" s="9"/>
    </row>
    <row r="5" spans="1:27" s="4" customFormat="1" ht="15.75" customHeight="1" x14ac:dyDescent="0.2">
      <c r="A5" s="37"/>
      <c r="B5" s="47"/>
      <c r="C5" s="26" t="s">
        <v>1583</v>
      </c>
      <c r="D5" s="5"/>
      <c r="F5" s="8"/>
      <c r="G5" s="287" t="s">
        <v>1392</v>
      </c>
      <c r="H5" s="288">
        <v>82</v>
      </c>
      <c r="I5" s="186"/>
      <c r="J5" s="187"/>
      <c r="K5" s="187"/>
      <c r="L5" s="187"/>
      <c r="M5" s="187"/>
      <c r="N5" s="188"/>
      <c r="O5" s="189"/>
      <c r="P5" s="188"/>
      <c r="Q5" s="187"/>
      <c r="R5" s="187"/>
      <c r="S5" s="187"/>
      <c r="T5" s="289">
        <v>105337865.14</v>
      </c>
      <c r="U5" s="9"/>
      <c r="V5" s="9"/>
      <c r="W5" s="9"/>
      <c r="X5" s="9"/>
      <c r="Y5" s="9"/>
    </row>
    <row r="6" spans="1:27" s="4" customFormat="1" ht="15.75" customHeight="1" x14ac:dyDescent="0.25">
      <c r="A6" s="37"/>
      <c r="B6" s="47"/>
      <c r="C6" s="26"/>
      <c r="D6" s="5"/>
      <c r="F6" s="8"/>
      <c r="G6" s="313" t="s">
        <v>11</v>
      </c>
      <c r="H6" s="314">
        <v>77</v>
      </c>
      <c r="I6" s="191"/>
      <c r="J6" s="192"/>
      <c r="K6" s="192"/>
      <c r="L6" s="192"/>
      <c r="M6" s="192"/>
      <c r="N6" s="193"/>
      <c r="O6" s="194"/>
      <c r="P6" s="193"/>
      <c r="Q6" s="192"/>
      <c r="R6" s="192"/>
      <c r="S6" s="192"/>
      <c r="T6" s="315">
        <v>97656249.780000001</v>
      </c>
      <c r="U6" s="9"/>
      <c r="V6" s="9"/>
      <c r="W6" s="9"/>
      <c r="X6" s="9"/>
      <c r="Y6" s="9"/>
    </row>
    <row r="7" spans="1:27" s="13" customFormat="1" ht="15" customHeight="1" thickBot="1" x14ac:dyDescent="0.3">
      <c r="A7" s="38"/>
      <c r="B7" s="48" t="s">
        <v>1548</v>
      </c>
      <c r="C7" s="10"/>
      <c r="D7" s="10"/>
      <c r="E7" s="11"/>
      <c r="F7" s="12"/>
      <c r="G7" s="316" t="s">
        <v>869</v>
      </c>
      <c r="H7" s="317">
        <v>4</v>
      </c>
      <c r="I7" s="195"/>
      <c r="J7" s="196"/>
      <c r="K7" s="196"/>
      <c r="L7" s="196"/>
      <c r="M7" s="196"/>
      <c r="N7" s="197"/>
      <c r="O7" s="198"/>
      <c r="P7" s="197"/>
      <c r="Q7" s="196"/>
      <c r="R7" s="196"/>
      <c r="S7" s="196"/>
      <c r="T7" s="318">
        <v>1418102.09</v>
      </c>
      <c r="U7" s="27"/>
      <c r="V7" s="27"/>
      <c r="W7" s="27"/>
      <c r="X7" s="27"/>
      <c r="Y7" s="27"/>
    </row>
    <row r="8" spans="1:27" s="13" customFormat="1" ht="15" customHeight="1" thickBot="1" x14ac:dyDescent="0.25">
      <c r="A8" s="38"/>
      <c r="B8" s="48"/>
      <c r="C8" s="24"/>
      <c r="D8" s="24"/>
      <c r="E8" s="14"/>
      <c r="F8" s="14"/>
      <c r="G8" s="179" t="s">
        <v>1581</v>
      </c>
      <c r="H8" s="206">
        <f>SUM(H4:H7)</f>
        <v>281</v>
      </c>
      <c r="I8" s="178"/>
      <c r="J8" s="31"/>
      <c r="K8" s="31"/>
      <c r="L8" s="31"/>
      <c r="M8" s="31"/>
      <c r="N8" s="56"/>
      <c r="O8" s="55"/>
      <c r="P8" s="56"/>
      <c r="Q8" s="54"/>
      <c r="R8" s="54"/>
      <c r="S8" s="31"/>
      <c r="T8" s="180">
        <f>SUM(T4:T7)</f>
        <v>364765514.35999995</v>
      </c>
      <c r="U8" s="15"/>
      <c r="V8" s="15"/>
      <c r="W8" s="15"/>
      <c r="X8" s="15"/>
      <c r="Y8" s="15" t="s">
        <v>216</v>
      </c>
    </row>
    <row r="9" spans="1:27" s="13" customFormat="1" ht="15" customHeight="1" x14ac:dyDescent="0.2">
      <c r="A9" s="38"/>
      <c r="B9" s="49" t="s">
        <v>1549</v>
      </c>
      <c r="C9" s="14"/>
      <c r="D9" s="14"/>
      <c r="E9" s="14"/>
      <c r="F9" s="14"/>
      <c r="G9" s="372" t="s">
        <v>52</v>
      </c>
      <c r="H9" s="373">
        <v>14</v>
      </c>
      <c r="I9" s="374"/>
      <c r="J9" s="375"/>
      <c r="K9" s="375"/>
      <c r="L9" s="375"/>
      <c r="M9" s="375"/>
      <c r="N9" s="376"/>
      <c r="O9" s="377"/>
      <c r="P9" s="378"/>
      <c r="Q9" s="375"/>
      <c r="R9" s="375"/>
      <c r="S9" s="375"/>
      <c r="T9" s="379">
        <v>21647546.929999944</v>
      </c>
      <c r="U9" s="15"/>
      <c r="V9" s="15"/>
      <c r="W9" s="15"/>
      <c r="X9" s="15"/>
      <c r="Y9" s="15"/>
    </row>
    <row r="10" spans="1:27" s="13" customFormat="1" ht="15" customHeight="1" thickBot="1" x14ac:dyDescent="0.25">
      <c r="A10" s="38"/>
      <c r="B10" s="49"/>
      <c r="C10" s="14"/>
      <c r="D10" s="14"/>
      <c r="E10" s="14"/>
      <c r="F10" s="14"/>
      <c r="G10" s="327" t="s">
        <v>1600</v>
      </c>
      <c r="H10" s="328">
        <v>3</v>
      </c>
      <c r="I10" s="199"/>
      <c r="J10" s="200"/>
      <c r="K10" s="200"/>
      <c r="L10" s="200"/>
      <c r="M10" s="200"/>
      <c r="N10" s="201"/>
      <c r="O10" s="202"/>
      <c r="P10" s="203"/>
      <c r="Q10" s="204"/>
      <c r="R10" s="204"/>
      <c r="S10" s="200"/>
      <c r="T10" s="329"/>
      <c r="U10" s="15"/>
      <c r="V10" s="15"/>
      <c r="W10" s="15"/>
      <c r="X10" s="15"/>
      <c r="Y10" s="15"/>
    </row>
    <row r="11" spans="1:27" s="13" customFormat="1" ht="15" customHeight="1" thickBot="1" x14ac:dyDescent="0.25">
      <c r="A11" s="38"/>
      <c r="B11" s="49"/>
      <c r="C11" s="14"/>
      <c r="D11" s="14"/>
      <c r="E11" s="14"/>
      <c r="F11" s="14"/>
      <c r="G11" s="173" t="s">
        <v>1576</v>
      </c>
      <c r="H11" s="207">
        <f>+H8+H9</f>
        <v>295</v>
      </c>
      <c r="I11" s="172"/>
      <c r="J11" s="31"/>
      <c r="K11" s="31"/>
      <c r="L11" s="31"/>
      <c r="M11" s="31"/>
      <c r="N11" s="56"/>
      <c r="O11" s="55"/>
      <c r="P11" s="56"/>
      <c r="Q11" s="54"/>
      <c r="R11" s="54"/>
      <c r="S11" s="31"/>
      <c r="T11" s="174">
        <f>+T8+T9</f>
        <v>386413061.2899999</v>
      </c>
      <c r="U11" s="371"/>
      <c r="V11" s="15"/>
      <c r="W11" s="15"/>
      <c r="X11" s="15"/>
      <c r="Y11" s="15"/>
    </row>
    <row r="12" spans="1:27" s="31" customFormat="1" ht="20.25" x14ac:dyDescent="0.2">
      <c r="A12" s="39"/>
      <c r="C12" s="29"/>
      <c r="D12" s="29"/>
      <c r="E12" s="30"/>
      <c r="F12" s="30"/>
      <c r="U12" s="32"/>
      <c r="V12" s="32"/>
      <c r="W12" s="32"/>
      <c r="X12" s="32"/>
      <c r="Y12" s="32"/>
    </row>
    <row r="13" spans="1:27" s="13" customFormat="1" ht="15" customHeight="1" x14ac:dyDescent="0.3">
      <c r="A13" s="38"/>
      <c r="B13" s="50"/>
      <c r="C13" s="16"/>
      <c r="D13" s="16"/>
      <c r="E13" s="16"/>
      <c r="F13" s="17"/>
      <c r="G13" s="45"/>
      <c r="H13" s="45"/>
      <c r="O13" s="17"/>
      <c r="P13" s="18"/>
      <c r="Q13" s="17"/>
      <c r="R13"/>
      <c r="S13"/>
      <c r="T13" s="18"/>
      <c r="U13" s="18"/>
      <c r="V13" s="18"/>
      <c r="W13" s="18"/>
      <c r="X13" s="18"/>
      <c r="Y13" s="18"/>
    </row>
    <row r="14" spans="1:27" s="13" customFormat="1" ht="105.75" customHeight="1" x14ac:dyDescent="0.2">
      <c r="A14" s="38"/>
      <c r="B14" s="52" t="s">
        <v>0</v>
      </c>
      <c r="C14" s="52" t="s">
        <v>1238</v>
      </c>
      <c r="D14" s="52" t="s">
        <v>1239</v>
      </c>
      <c r="E14" s="52" t="s">
        <v>1</v>
      </c>
      <c r="F14" s="52" t="s">
        <v>2</v>
      </c>
      <c r="G14" s="52" t="s">
        <v>3</v>
      </c>
      <c r="H14" s="53" t="s">
        <v>4</v>
      </c>
      <c r="I14" s="52" t="s">
        <v>7</v>
      </c>
      <c r="J14" s="52" t="s">
        <v>203</v>
      </c>
      <c r="K14" s="52" t="s">
        <v>8</v>
      </c>
      <c r="L14" s="52" t="s">
        <v>892</v>
      </c>
      <c r="M14" s="52" t="s">
        <v>1393</v>
      </c>
      <c r="N14" s="52" t="s">
        <v>1394</v>
      </c>
      <c r="O14" s="52" t="s">
        <v>5</v>
      </c>
      <c r="P14" s="52" t="s">
        <v>202</v>
      </c>
      <c r="Q14" s="52" t="s">
        <v>6</v>
      </c>
      <c r="R14" s="52" t="s">
        <v>9</v>
      </c>
      <c r="S14" s="52" t="s">
        <v>10</v>
      </c>
      <c r="T14" s="52" t="s">
        <v>1512</v>
      </c>
      <c r="U14" s="52" t="s">
        <v>1513</v>
      </c>
      <c r="V14" s="52" t="s">
        <v>1564</v>
      </c>
      <c r="W14" s="52" t="s">
        <v>1565</v>
      </c>
      <c r="X14" s="52" t="s">
        <v>1577</v>
      </c>
      <c r="Y14" s="52" t="s">
        <v>206</v>
      </c>
      <c r="Z14" s="52" t="s">
        <v>1582</v>
      </c>
    </row>
    <row r="15" spans="1:27" ht="75" x14ac:dyDescent="0.2">
      <c r="B15" s="290">
        <v>1</v>
      </c>
      <c r="C15" s="290" t="s">
        <v>1240</v>
      </c>
      <c r="D15" s="290">
        <v>900110</v>
      </c>
      <c r="E15" s="290" t="s">
        <v>220</v>
      </c>
      <c r="F15" s="291" t="s">
        <v>1403</v>
      </c>
      <c r="G15" s="292" t="s">
        <v>221</v>
      </c>
      <c r="H15" s="293" t="s">
        <v>1397</v>
      </c>
      <c r="I15" s="58" t="s">
        <v>1396</v>
      </c>
      <c r="J15" s="59">
        <v>134774</v>
      </c>
      <c r="K15" s="60">
        <v>1</v>
      </c>
      <c r="L15" s="60">
        <v>8224</v>
      </c>
      <c r="M15" s="60" t="s">
        <v>1398</v>
      </c>
      <c r="N15" s="61">
        <v>134774</v>
      </c>
      <c r="O15" s="62">
        <v>1233.6300000000001</v>
      </c>
      <c r="P15" s="59">
        <v>134774</v>
      </c>
      <c r="Q15" s="59">
        <f t="shared" ref="Q15:Q66" si="0">+P15/O15</f>
        <v>109.24993717727357</v>
      </c>
      <c r="R15" s="63" t="s">
        <v>16</v>
      </c>
      <c r="S15" s="64" t="s">
        <v>16</v>
      </c>
      <c r="T15" s="294" t="s">
        <v>1554</v>
      </c>
      <c r="U15" s="294" t="s">
        <v>11</v>
      </c>
      <c r="V15" s="295">
        <v>134774</v>
      </c>
      <c r="W15" s="295">
        <f>+V15*1.16*12</f>
        <v>1876054.08</v>
      </c>
      <c r="X15" s="295">
        <f>ROUND(+V15*1.15*12*1.16,2)</f>
        <v>2157462.19</v>
      </c>
      <c r="Y15" s="296" t="s">
        <v>1566</v>
      </c>
      <c r="Z15" s="335"/>
    </row>
    <row r="16" spans="1:27" s="34" customFormat="1" ht="75" x14ac:dyDescent="0.2">
      <c r="A16" s="41"/>
      <c r="B16" s="218">
        <v>2</v>
      </c>
      <c r="C16" s="218" t="s">
        <v>1241</v>
      </c>
      <c r="D16" s="218">
        <v>900110</v>
      </c>
      <c r="E16" s="218" t="s">
        <v>220</v>
      </c>
      <c r="F16" s="219" t="s">
        <v>653</v>
      </c>
      <c r="G16" s="220" t="s">
        <v>222</v>
      </c>
      <c r="H16" s="221" t="s">
        <v>541</v>
      </c>
      <c r="I16" s="58" t="s">
        <v>14</v>
      </c>
      <c r="J16" s="59">
        <v>8160</v>
      </c>
      <c r="K16" s="60">
        <v>27</v>
      </c>
      <c r="L16" s="60">
        <v>8761</v>
      </c>
      <c r="M16" s="60" t="s">
        <v>1442</v>
      </c>
      <c r="N16" s="61">
        <v>166441</v>
      </c>
      <c r="O16" s="62">
        <v>903.98</v>
      </c>
      <c r="P16" s="59">
        <v>85000</v>
      </c>
      <c r="Q16" s="59">
        <f t="shared" si="0"/>
        <v>94.02862895196796</v>
      </c>
      <c r="R16" s="63">
        <v>2020</v>
      </c>
      <c r="S16" s="64">
        <v>0.38</v>
      </c>
      <c r="T16" s="222" t="s">
        <v>1554</v>
      </c>
      <c r="U16" s="222" t="s">
        <v>1554</v>
      </c>
      <c r="V16" s="223">
        <v>85000</v>
      </c>
      <c r="W16" s="223">
        <f t="shared" ref="W16:W78" si="1">+V16*1.16*12</f>
        <v>1183200</v>
      </c>
      <c r="X16" s="223">
        <f>ROUND(+W16,2)</f>
        <v>1183200</v>
      </c>
      <c r="Y16" s="224"/>
      <c r="Z16" s="336"/>
      <c r="AA16" s="19"/>
    </row>
    <row r="17" spans="1:27" s="35" customFormat="1" ht="75" x14ac:dyDescent="0.2">
      <c r="A17" s="42"/>
      <c r="B17" s="218">
        <v>3</v>
      </c>
      <c r="C17" s="218" t="s">
        <v>1242</v>
      </c>
      <c r="D17" s="218">
        <v>800201</v>
      </c>
      <c r="E17" s="218" t="s">
        <v>220</v>
      </c>
      <c r="F17" s="219" t="s">
        <v>654</v>
      </c>
      <c r="G17" s="220" t="s">
        <v>223</v>
      </c>
      <c r="H17" s="221" t="s">
        <v>541</v>
      </c>
      <c r="I17" s="58" t="s">
        <v>14</v>
      </c>
      <c r="J17" s="59">
        <v>8160</v>
      </c>
      <c r="K17" s="60">
        <v>27</v>
      </c>
      <c r="L17" s="60">
        <v>8761</v>
      </c>
      <c r="M17" s="60" t="s">
        <v>1442</v>
      </c>
      <c r="N17" s="61">
        <v>166441</v>
      </c>
      <c r="O17" s="62">
        <v>630</v>
      </c>
      <c r="P17" s="59">
        <v>50000</v>
      </c>
      <c r="Q17" s="59">
        <f t="shared" si="0"/>
        <v>79.365079365079367</v>
      </c>
      <c r="R17" s="63">
        <v>2020</v>
      </c>
      <c r="S17" s="64">
        <v>0.32</v>
      </c>
      <c r="T17" s="222" t="s">
        <v>1554</v>
      </c>
      <c r="U17" s="222" t="s">
        <v>1554</v>
      </c>
      <c r="V17" s="223">
        <v>50000</v>
      </c>
      <c r="W17" s="223">
        <f t="shared" si="1"/>
        <v>695999.99999999988</v>
      </c>
      <c r="X17" s="223">
        <f t="shared" ref="X17" si="2">ROUND(+W17,2)</f>
        <v>696000</v>
      </c>
      <c r="Y17" s="224"/>
      <c r="Z17" s="337"/>
      <c r="AA17" s="20"/>
    </row>
    <row r="18" spans="1:27" s="35" customFormat="1" ht="75" x14ac:dyDescent="0.2">
      <c r="A18" s="42"/>
      <c r="B18" s="262">
        <v>4</v>
      </c>
      <c r="C18" s="262">
        <v>19001</v>
      </c>
      <c r="D18" s="262">
        <v>150100</v>
      </c>
      <c r="E18" s="262" t="s">
        <v>220</v>
      </c>
      <c r="F18" s="263" t="s">
        <v>655</v>
      </c>
      <c r="G18" s="264" t="s">
        <v>566</v>
      </c>
      <c r="H18" s="265" t="s">
        <v>541</v>
      </c>
      <c r="I18" s="58" t="s">
        <v>15</v>
      </c>
      <c r="J18" s="59">
        <v>112200</v>
      </c>
      <c r="K18" s="60">
        <v>16</v>
      </c>
      <c r="L18" s="60">
        <v>8708</v>
      </c>
      <c r="M18" s="60" t="s">
        <v>1429</v>
      </c>
      <c r="N18" s="61">
        <v>298753</v>
      </c>
      <c r="O18" s="62">
        <v>5641.27</v>
      </c>
      <c r="P18" s="59">
        <v>275000</v>
      </c>
      <c r="Q18" s="59">
        <f t="shared" si="0"/>
        <v>48.747888330110058</v>
      </c>
      <c r="R18" s="63">
        <v>2020</v>
      </c>
      <c r="S18" s="64">
        <v>1.45</v>
      </c>
      <c r="T18" s="266" t="s">
        <v>1554</v>
      </c>
      <c r="U18" s="266" t="s">
        <v>13</v>
      </c>
      <c r="V18" s="267">
        <v>275000</v>
      </c>
      <c r="W18" s="267">
        <f t="shared" si="1"/>
        <v>3828000</v>
      </c>
      <c r="X18" s="267">
        <f>ROUND(+V18*1.16*12*1.1,2)</f>
        <v>4210800</v>
      </c>
      <c r="Y18" s="268" t="s">
        <v>1567</v>
      </c>
      <c r="Z18" s="337"/>
      <c r="AA18" s="20"/>
    </row>
    <row r="19" spans="1:27" s="35" customFormat="1" ht="75" x14ac:dyDescent="0.2">
      <c r="A19" s="42"/>
      <c r="B19" s="218">
        <v>5</v>
      </c>
      <c r="C19" s="218">
        <v>19001</v>
      </c>
      <c r="D19" s="225" t="s">
        <v>1282</v>
      </c>
      <c r="E19" s="218" t="s">
        <v>220</v>
      </c>
      <c r="F19" s="226" t="s">
        <v>1516</v>
      </c>
      <c r="G19" s="220" t="s">
        <v>1464</v>
      </c>
      <c r="H19" s="221" t="s">
        <v>1490</v>
      </c>
      <c r="I19" s="58" t="s">
        <v>1494</v>
      </c>
      <c r="J19" s="59">
        <v>23000</v>
      </c>
      <c r="K19" s="60" t="s">
        <v>16</v>
      </c>
      <c r="L19" s="60" t="s">
        <v>1491</v>
      </c>
      <c r="M19" s="60" t="s">
        <v>1492</v>
      </c>
      <c r="N19" s="61">
        <v>23500</v>
      </c>
      <c r="O19" s="62">
        <v>256</v>
      </c>
      <c r="P19" s="59">
        <v>23000</v>
      </c>
      <c r="Q19" s="59">
        <f t="shared" si="0"/>
        <v>89.84375</v>
      </c>
      <c r="R19" s="63" t="s">
        <v>16</v>
      </c>
      <c r="S19" s="64" t="s">
        <v>16</v>
      </c>
      <c r="T19" s="222" t="s">
        <v>1554</v>
      </c>
      <c r="U19" s="222" t="s">
        <v>1554</v>
      </c>
      <c r="V19" s="229">
        <v>23000</v>
      </c>
      <c r="W19" s="223">
        <f>+V19*12</f>
        <v>276000</v>
      </c>
      <c r="X19" s="223">
        <f t="shared" ref="X19:X20" si="3">ROUND(+W19,2)</f>
        <v>276000</v>
      </c>
      <c r="Y19" s="224"/>
      <c r="Z19" s="167">
        <f>SUM(X15:X19)</f>
        <v>8523462.1899999995</v>
      </c>
      <c r="AA19" s="20"/>
    </row>
    <row r="20" spans="1:27" s="20" customFormat="1" ht="112.5" x14ac:dyDescent="0.2">
      <c r="A20" s="43"/>
      <c r="B20" s="218">
        <v>6</v>
      </c>
      <c r="C20" s="218" t="s">
        <v>1243</v>
      </c>
      <c r="D20" s="218">
        <v>100902</v>
      </c>
      <c r="E20" s="227" t="s">
        <v>224</v>
      </c>
      <c r="F20" s="226" t="s">
        <v>656</v>
      </c>
      <c r="G20" s="228" t="s">
        <v>225</v>
      </c>
      <c r="H20" s="228" t="s">
        <v>550</v>
      </c>
      <c r="I20" s="65" t="s">
        <v>17</v>
      </c>
      <c r="J20" s="59" t="s">
        <v>549</v>
      </c>
      <c r="K20" s="60">
        <v>27</v>
      </c>
      <c r="L20" s="60" t="s">
        <v>893</v>
      </c>
      <c r="M20" s="60" t="s">
        <v>894</v>
      </c>
      <c r="N20" s="60" t="s">
        <v>895</v>
      </c>
      <c r="O20" s="62">
        <v>77.5</v>
      </c>
      <c r="P20" s="59">
        <v>3330</v>
      </c>
      <c r="Q20" s="59">
        <f t="shared" si="0"/>
        <v>42.967741935483872</v>
      </c>
      <c r="R20" s="63" t="s">
        <v>1330</v>
      </c>
      <c r="S20" s="64" t="s">
        <v>16</v>
      </c>
      <c r="T20" s="222" t="s">
        <v>1554</v>
      </c>
      <c r="U20" s="222" t="s">
        <v>1554</v>
      </c>
      <c r="V20" s="223">
        <v>3330</v>
      </c>
      <c r="W20" s="223">
        <f t="shared" si="1"/>
        <v>46353.599999999999</v>
      </c>
      <c r="X20" s="223">
        <f t="shared" si="3"/>
        <v>46353.599999999999</v>
      </c>
      <c r="Y20" s="224"/>
      <c r="Z20" s="167"/>
    </row>
    <row r="21" spans="1:27" s="20" customFormat="1" ht="75" x14ac:dyDescent="0.2">
      <c r="A21" s="43"/>
      <c r="B21" s="290">
        <v>7</v>
      </c>
      <c r="C21" s="290" t="s">
        <v>1244</v>
      </c>
      <c r="D21" s="290">
        <v>310203</v>
      </c>
      <c r="E21" s="297" t="s">
        <v>224</v>
      </c>
      <c r="F21" s="298" t="s">
        <v>657</v>
      </c>
      <c r="G21" s="299" t="s">
        <v>226</v>
      </c>
      <c r="H21" s="299" t="s">
        <v>228</v>
      </c>
      <c r="I21" s="65" t="s">
        <v>18</v>
      </c>
      <c r="J21" s="59">
        <v>24000</v>
      </c>
      <c r="K21" s="60">
        <v>11</v>
      </c>
      <c r="L21" s="60" t="s">
        <v>896</v>
      </c>
      <c r="M21" s="60" t="s">
        <v>897</v>
      </c>
      <c r="N21" s="61">
        <v>24697</v>
      </c>
      <c r="O21" s="62">
        <v>440</v>
      </c>
      <c r="P21" s="59">
        <v>24000</v>
      </c>
      <c r="Q21" s="59">
        <f t="shared" si="0"/>
        <v>54.545454545454547</v>
      </c>
      <c r="R21" s="63" t="s">
        <v>1334</v>
      </c>
      <c r="S21" s="64" t="s">
        <v>16</v>
      </c>
      <c r="T21" s="300" t="s">
        <v>11</v>
      </c>
      <c r="U21" s="300" t="s">
        <v>11</v>
      </c>
      <c r="V21" s="295">
        <v>24000</v>
      </c>
      <c r="W21" s="295">
        <f t="shared" si="1"/>
        <v>334079.99999999994</v>
      </c>
      <c r="X21" s="295">
        <f>ROUND(+V21*1.15*12*1.16,2)</f>
        <v>384192</v>
      </c>
      <c r="Y21" s="296" t="s">
        <v>1566</v>
      </c>
      <c r="Z21" s="167"/>
    </row>
    <row r="22" spans="1:27" s="20" customFormat="1" ht="93.75" x14ac:dyDescent="0.2">
      <c r="A22" s="43"/>
      <c r="B22" s="262">
        <v>8</v>
      </c>
      <c r="C22" s="262" t="s">
        <v>1245</v>
      </c>
      <c r="D22" s="262">
        <v>900110</v>
      </c>
      <c r="E22" s="269" t="s">
        <v>224</v>
      </c>
      <c r="F22" s="270" t="s">
        <v>591</v>
      </c>
      <c r="G22" s="271" t="s">
        <v>227</v>
      </c>
      <c r="H22" s="271" t="s">
        <v>551</v>
      </c>
      <c r="I22" s="65" t="s">
        <v>18</v>
      </c>
      <c r="J22" s="59">
        <v>187500</v>
      </c>
      <c r="K22" s="60">
        <v>11</v>
      </c>
      <c r="L22" s="66" t="s">
        <v>898</v>
      </c>
      <c r="M22" s="66" t="s">
        <v>899</v>
      </c>
      <c r="N22" s="67">
        <v>173645</v>
      </c>
      <c r="O22" s="68">
        <v>2468.65</v>
      </c>
      <c r="P22" s="59">
        <v>173645</v>
      </c>
      <c r="Q22" s="59">
        <f t="shared" si="0"/>
        <v>70.340064407672202</v>
      </c>
      <c r="R22" s="63" t="s">
        <v>1332</v>
      </c>
      <c r="S22" s="64" t="s">
        <v>1336</v>
      </c>
      <c r="T22" s="272" t="s">
        <v>13</v>
      </c>
      <c r="U22" s="272" t="s">
        <v>13</v>
      </c>
      <c r="V22" s="267">
        <v>173645</v>
      </c>
      <c r="W22" s="267">
        <f t="shared" si="1"/>
        <v>2417138.4</v>
      </c>
      <c r="X22" s="267">
        <f>ROUND(+V22*1.16*12*1.1,2)</f>
        <v>2658852.2400000002</v>
      </c>
      <c r="Y22" s="268" t="s">
        <v>1567</v>
      </c>
      <c r="Z22" s="167">
        <f>SUM(X20:X22)</f>
        <v>3089397.8400000003</v>
      </c>
    </row>
    <row r="23" spans="1:27" s="20" customFormat="1" ht="93.75" x14ac:dyDescent="0.2">
      <c r="A23" s="43"/>
      <c r="B23" s="218">
        <v>9</v>
      </c>
      <c r="C23" s="218" t="s">
        <v>1246</v>
      </c>
      <c r="D23" s="218">
        <v>200100</v>
      </c>
      <c r="E23" s="227" t="s">
        <v>229</v>
      </c>
      <c r="F23" s="226" t="s">
        <v>658</v>
      </c>
      <c r="G23" s="228" t="s">
        <v>1410</v>
      </c>
      <c r="H23" s="230" t="s">
        <v>600</v>
      </c>
      <c r="I23" s="65" t="s">
        <v>20</v>
      </c>
      <c r="J23" s="59">
        <v>250</v>
      </c>
      <c r="K23" s="60">
        <v>35</v>
      </c>
      <c r="L23" s="60">
        <v>8149</v>
      </c>
      <c r="M23" s="60" t="s">
        <v>1522</v>
      </c>
      <c r="N23" s="61">
        <v>125412</v>
      </c>
      <c r="O23" s="62">
        <v>608</v>
      </c>
      <c r="P23" s="59">
        <v>28665</v>
      </c>
      <c r="Q23" s="59">
        <f t="shared" si="0"/>
        <v>47.14638157894737</v>
      </c>
      <c r="R23" s="63">
        <v>2019</v>
      </c>
      <c r="S23" s="64">
        <v>0.25</v>
      </c>
      <c r="T23" s="222" t="s">
        <v>1554</v>
      </c>
      <c r="U23" s="222" t="s">
        <v>1554</v>
      </c>
      <c r="V23" s="223">
        <v>28665</v>
      </c>
      <c r="W23" s="223">
        <f t="shared" si="1"/>
        <v>399016.79999999993</v>
      </c>
      <c r="X23" s="223">
        <f>ROUND(+W23,2)</f>
        <v>399016.8</v>
      </c>
      <c r="Y23" s="224"/>
      <c r="Z23" s="167"/>
    </row>
    <row r="24" spans="1:27" s="20" customFormat="1" ht="131.25" x14ac:dyDescent="0.2">
      <c r="A24" s="43"/>
      <c r="B24" s="262">
        <v>10</v>
      </c>
      <c r="C24" s="262" t="s">
        <v>1246</v>
      </c>
      <c r="D24" s="262">
        <v>200100</v>
      </c>
      <c r="E24" s="269" t="s">
        <v>229</v>
      </c>
      <c r="F24" s="273" t="s">
        <v>659</v>
      </c>
      <c r="G24" s="271" t="s">
        <v>227</v>
      </c>
      <c r="H24" s="274" t="s">
        <v>613</v>
      </c>
      <c r="I24" s="69">
        <v>42644</v>
      </c>
      <c r="J24" s="59">
        <v>79282.149999999994</v>
      </c>
      <c r="K24" s="60">
        <v>5</v>
      </c>
      <c r="L24" s="60">
        <v>4804</v>
      </c>
      <c r="M24" s="60" t="s">
        <v>900</v>
      </c>
      <c r="N24" s="61">
        <v>214126.83</v>
      </c>
      <c r="O24" s="70">
        <v>1002.81</v>
      </c>
      <c r="P24" s="59">
        <v>79282.149999999994</v>
      </c>
      <c r="Q24" s="59">
        <f t="shared" si="0"/>
        <v>79.059991424098286</v>
      </c>
      <c r="R24" s="63" t="s">
        <v>16</v>
      </c>
      <c r="S24" s="64" t="s">
        <v>16</v>
      </c>
      <c r="T24" s="266" t="s">
        <v>1554</v>
      </c>
      <c r="U24" s="272" t="s">
        <v>13</v>
      </c>
      <c r="V24" s="267">
        <v>79282.149999999994</v>
      </c>
      <c r="W24" s="267">
        <f t="shared" si="1"/>
        <v>1103607.5279999997</v>
      </c>
      <c r="X24" s="267">
        <f>ROUND(+V24*1.16*12*1.1,2)</f>
        <v>1213968.28</v>
      </c>
      <c r="Y24" s="268" t="s">
        <v>1567</v>
      </c>
      <c r="Z24" s="167"/>
    </row>
    <row r="25" spans="1:27" s="20" customFormat="1" ht="75" x14ac:dyDescent="0.2">
      <c r="A25" s="43"/>
      <c r="B25" s="218">
        <v>11</v>
      </c>
      <c r="C25" s="218" t="s">
        <v>1247</v>
      </c>
      <c r="D25" s="218">
        <v>900110</v>
      </c>
      <c r="E25" s="227" t="s">
        <v>229</v>
      </c>
      <c r="F25" s="226" t="s">
        <v>660</v>
      </c>
      <c r="G25" s="228" t="s">
        <v>662</v>
      </c>
      <c r="H25" s="230" t="s">
        <v>230</v>
      </c>
      <c r="I25" s="65" t="s">
        <v>21</v>
      </c>
      <c r="J25" s="59">
        <v>16262.4</v>
      </c>
      <c r="K25" s="60">
        <v>7</v>
      </c>
      <c r="L25" s="60" t="s">
        <v>901</v>
      </c>
      <c r="M25" s="60" t="s">
        <v>902</v>
      </c>
      <c r="N25" s="61">
        <v>23657</v>
      </c>
      <c r="O25" s="62">
        <v>147.84</v>
      </c>
      <c r="P25" s="59">
        <v>16262.4</v>
      </c>
      <c r="Q25" s="59">
        <f t="shared" si="0"/>
        <v>110</v>
      </c>
      <c r="R25" s="63" t="s">
        <v>1334</v>
      </c>
      <c r="S25" s="64" t="s">
        <v>16</v>
      </c>
      <c r="T25" s="222" t="s">
        <v>1554</v>
      </c>
      <c r="U25" s="222" t="s">
        <v>1554</v>
      </c>
      <c r="V25" s="223">
        <v>16262.4</v>
      </c>
      <c r="W25" s="223">
        <f t="shared" si="1"/>
        <v>226372.60799999998</v>
      </c>
      <c r="X25" s="223">
        <f t="shared" ref="X25:X28" si="4">ROUND(+W25,2)</f>
        <v>226372.61</v>
      </c>
      <c r="Y25" s="224"/>
      <c r="Z25" s="167"/>
    </row>
    <row r="26" spans="1:27" s="20" customFormat="1" ht="112.5" x14ac:dyDescent="0.2">
      <c r="A26" s="43"/>
      <c r="B26" s="218">
        <v>12</v>
      </c>
      <c r="C26" s="218" t="s">
        <v>1248</v>
      </c>
      <c r="D26" s="218">
        <v>900110</v>
      </c>
      <c r="E26" s="227" t="s">
        <v>229</v>
      </c>
      <c r="F26" s="226" t="s">
        <v>1405</v>
      </c>
      <c r="G26" s="228" t="s">
        <v>662</v>
      </c>
      <c r="H26" s="230" t="s">
        <v>231</v>
      </c>
      <c r="I26" s="65" t="s">
        <v>21</v>
      </c>
      <c r="J26" s="59">
        <v>6500</v>
      </c>
      <c r="K26" s="60">
        <v>7</v>
      </c>
      <c r="L26" s="60" t="s">
        <v>903</v>
      </c>
      <c r="M26" s="60" t="s">
        <v>904</v>
      </c>
      <c r="N26" s="61">
        <v>8941</v>
      </c>
      <c r="O26" s="62">
        <v>111</v>
      </c>
      <c r="P26" s="59">
        <v>6500</v>
      </c>
      <c r="Q26" s="59">
        <f t="shared" si="0"/>
        <v>58.558558558558559</v>
      </c>
      <c r="R26" s="63" t="s">
        <v>1334</v>
      </c>
      <c r="S26" s="64" t="s">
        <v>16</v>
      </c>
      <c r="T26" s="222" t="s">
        <v>1554</v>
      </c>
      <c r="U26" s="222" t="s">
        <v>1554</v>
      </c>
      <c r="V26" s="223">
        <v>6500</v>
      </c>
      <c r="W26" s="223">
        <f t="shared" si="1"/>
        <v>90479.999999999985</v>
      </c>
      <c r="X26" s="223">
        <f t="shared" si="4"/>
        <v>90480</v>
      </c>
      <c r="Y26" s="224"/>
      <c r="Z26" s="167"/>
    </row>
    <row r="27" spans="1:27" s="20" customFormat="1" ht="93.75" x14ac:dyDescent="0.2">
      <c r="A27" s="43"/>
      <c r="B27" s="218">
        <v>13</v>
      </c>
      <c r="C27" s="218" t="s">
        <v>1249</v>
      </c>
      <c r="D27" s="218">
        <v>920201</v>
      </c>
      <c r="E27" s="227" t="s">
        <v>229</v>
      </c>
      <c r="F27" s="226" t="s">
        <v>661</v>
      </c>
      <c r="G27" s="228" t="s">
        <v>237</v>
      </c>
      <c r="H27" s="230" t="s">
        <v>232</v>
      </c>
      <c r="I27" s="65" t="s">
        <v>649</v>
      </c>
      <c r="J27" s="59">
        <v>33638.01</v>
      </c>
      <c r="K27" s="60">
        <v>3</v>
      </c>
      <c r="L27" s="60">
        <v>6968</v>
      </c>
      <c r="M27" s="60" t="s">
        <v>905</v>
      </c>
      <c r="N27" s="61">
        <v>80354</v>
      </c>
      <c r="O27" s="62">
        <v>929.05</v>
      </c>
      <c r="P27" s="59">
        <v>33638.01</v>
      </c>
      <c r="Q27" s="59">
        <f t="shared" si="0"/>
        <v>36.206888757332763</v>
      </c>
      <c r="R27" s="63" t="s">
        <v>16</v>
      </c>
      <c r="S27" s="64" t="s">
        <v>16</v>
      </c>
      <c r="T27" s="222" t="s">
        <v>1554</v>
      </c>
      <c r="U27" s="222" t="s">
        <v>1554</v>
      </c>
      <c r="V27" s="223">
        <v>33638.01</v>
      </c>
      <c r="W27" s="223">
        <f t="shared" si="1"/>
        <v>468241.0992</v>
      </c>
      <c r="X27" s="223">
        <f t="shared" si="4"/>
        <v>468241.1</v>
      </c>
      <c r="Y27" s="224"/>
      <c r="Z27" s="167">
        <f>SUM(X23:X27)</f>
        <v>2398078.79</v>
      </c>
    </row>
    <row r="28" spans="1:27" s="20" customFormat="1" ht="93.75" x14ac:dyDescent="0.2">
      <c r="A28" s="43"/>
      <c r="B28" s="218">
        <v>14</v>
      </c>
      <c r="C28" s="225" t="s">
        <v>1551</v>
      </c>
      <c r="D28" s="225" t="s">
        <v>1282</v>
      </c>
      <c r="E28" s="227" t="s">
        <v>1493</v>
      </c>
      <c r="F28" s="226" t="s">
        <v>1530</v>
      </c>
      <c r="G28" s="228" t="s">
        <v>1464</v>
      </c>
      <c r="H28" s="230" t="s">
        <v>1531</v>
      </c>
      <c r="I28" s="65" t="s">
        <v>1494</v>
      </c>
      <c r="J28" s="59">
        <v>15000</v>
      </c>
      <c r="K28" s="60" t="s">
        <v>16</v>
      </c>
      <c r="L28" s="60">
        <v>9276</v>
      </c>
      <c r="M28" s="60" t="s">
        <v>1532</v>
      </c>
      <c r="N28" s="61">
        <v>62066</v>
      </c>
      <c r="O28" s="62">
        <v>399.83</v>
      </c>
      <c r="P28" s="59">
        <v>15000</v>
      </c>
      <c r="Q28" s="59">
        <f t="shared" si="0"/>
        <v>37.515944276317434</v>
      </c>
      <c r="R28" s="63" t="s">
        <v>16</v>
      </c>
      <c r="S28" s="64" t="s">
        <v>16</v>
      </c>
      <c r="T28" s="222" t="s">
        <v>1554</v>
      </c>
      <c r="U28" s="222" t="s">
        <v>1554</v>
      </c>
      <c r="V28" s="229">
        <v>15000</v>
      </c>
      <c r="W28" s="223">
        <f>+V28*12</f>
        <v>180000</v>
      </c>
      <c r="X28" s="223">
        <f t="shared" si="4"/>
        <v>180000</v>
      </c>
      <c r="Y28" s="224"/>
      <c r="Z28" s="167">
        <f>+X28</f>
        <v>180000</v>
      </c>
    </row>
    <row r="29" spans="1:27" s="33" customFormat="1" ht="56.25" x14ac:dyDescent="0.2">
      <c r="A29" s="41"/>
      <c r="B29" s="290">
        <v>15</v>
      </c>
      <c r="C29" s="290" t="s">
        <v>1250</v>
      </c>
      <c r="D29" s="290">
        <v>200200</v>
      </c>
      <c r="E29" s="297" t="s">
        <v>258</v>
      </c>
      <c r="F29" s="301" t="s">
        <v>663</v>
      </c>
      <c r="G29" s="299" t="s">
        <v>259</v>
      </c>
      <c r="H29" s="299" t="s">
        <v>263</v>
      </c>
      <c r="I29" s="65" t="s">
        <v>211</v>
      </c>
      <c r="J29" s="59">
        <v>6200</v>
      </c>
      <c r="K29" s="60">
        <v>5</v>
      </c>
      <c r="L29" s="63">
        <v>3423</v>
      </c>
      <c r="M29" s="60" t="s">
        <v>940</v>
      </c>
      <c r="N29" s="61">
        <v>16711</v>
      </c>
      <c r="O29" s="62">
        <v>194</v>
      </c>
      <c r="P29" s="59">
        <v>6200</v>
      </c>
      <c r="Q29" s="59">
        <f t="shared" si="0"/>
        <v>31.958762886597938</v>
      </c>
      <c r="R29" s="63" t="s">
        <v>16</v>
      </c>
      <c r="S29" s="64" t="s">
        <v>16</v>
      </c>
      <c r="T29" s="300" t="s">
        <v>11</v>
      </c>
      <c r="U29" s="300" t="s">
        <v>11</v>
      </c>
      <c r="V29" s="302">
        <v>6200</v>
      </c>
      <c r="W29" s="295">
        <f t="shared" si="1"/>
        <v>86303.999999999985</v>
      </c>
      <c r="X29" s="295">
        <f>ROUND(+V29*1.15*12*1.16,2)</f>
        <v>99249.600000000006</v>
      </c>
      <c r="Y29" s="296" t="s">
        <v>1566</v>
      </c>
      <c r="Z29" s="167"/>
      <c r="AA29" s="3"/>
    </row>
    <row r="30" spans="1:27" s="3" customFormat="1" ht="75" x14ac:dyDescent="0.2">
      <c r="A30" s="40"/>
      <c r="B30" s="218">
        <v>16</v>
      </c>
      <c r="C30" s="218" t="s">
        <v>1251</v>
      </c>
      <c r="D30" s="218">
        <v>200200</v>
      </c>
      <c r="E30" s="227" t="s">
        <v>258</v>
      </c>
      <c r="F30" s="226" t="s">
        <v>664</v>
      </c>
      <c r="G30" s="228" t="s">
        <v>260</v>
      </c>
      <c r="H30" s="228" t="s">
        <v>264</v>
      </c>
      <c r="I30" s="65" t="s">
        <v>24</v>
      </c>
      <c r="J30" s="59">
        <v>120000</v>
      </c>
      <c r="K30" s="60">
        <v>21</v>
      </c>
      <c r="L30" s="60">
        <v>8791</v>
      </c>
      <c r="M30" s="60" t="s">
        <v>1449</v>
      </c>
      <c r="N30" s="61">
        <v>275815</v>
      </c>
      <c r="O30" s="62">
        <v>1268</v>
      </c>
      <c r="P30" s="59">
        <v>183860</v>
      </c>
      <c r="Q30" s="59">
        <f t="shared" si="0"/>
        <v>145</v>
      </c>
      <c r="R30" s="63">
        <v>2020</v>
      </c>
      <c r="S30" s="64">
        <v>0.34</v>
      </c>
      <c r="T30" s="222" t="s">
        <v>1554</v>
      </c>
      <c r="U30" s="222" t="s">
        <v>1554</v>
      </c>
      <c r="V30" s="223">
        <v>183860</v>
      </c>
      <c r="W30" s="223">
        <f t="shared" si="1"/>
        <v>2559331.1999999997</v>
      </c>
      <c r="X30" s="223">
        <f t="shared" ref="X30:X32" si="5">ROUND(+W30,2)</f>
        <v>2559331.2000000002</v>
      </c>
      <c r="Y30" s="224"/>
      <c r="Z30" s="167"/>
    </row>
    <row r="31" spans="1:27" s="3" customFormat="1" ht="75" x14ac:dyDescent="0.2">
      <c r="A31" s="40"/>
      <c r="B31" s="218">
        <v>17</v>
      </c>
      <c r="C31" s="218" t="s">
        <v>1252</v>
      </c>
      <c r="D31" s="218">
        <v>700100</v>
      </c>
      <c r="E31" s="227" t="s">
        <v>258</v>
      </c>
      <c r="F31" s="226" t="s">
        <v>665</v>
      </c>
      <c r="G31" s="228" t="s">
        <v>227</v>
      </c>
      <c r="H31" s="228" t="s">
        <v>265</v>
      </c>
      <c r="I31" s="65" t="s">
        <v>25</v>
      </c>
      <c r="J31" s="59">
        <v>60000</v>
      </c>
      <c r="K31" s="60">
        <v>23</v>
      </c>
      <c r="L31" s="63">
        <v>8703</v>
      </c>
      <c r="M31" s="60" t="s">
        <v>1427</v>
      </c>
      <c r="N31" s="61">
        <v>405990</v>
      </c>
      <c r="O31" s="62">
        <v>1953.85</v>
      </c>
      <c r="P31" s="59">
        <v>163275</v>
      </c>
      <c r="Q31" s="59">
        <f t="shared" si="0"/>
        <v>83.565780382322089</v>
      </c>
      <c r="R31" s="63">
        <v>2020</v>
      </c>
      <c r="S31" s="64">
        <v>1.1200000000000001</v>
      </c>
      <c r="T31" s="222" t="s">
        <v>1554</v>
      </c>
      <c r="U31" s="222" t="s">
        <v>1554</v>
      </c>
      <c r="V31" s="223">
        <f>189399/1.16</f>
        <v>163275</v>
      </c>
      <c r="W31" s="223">
        <f t="shared" si="1"/>
        <v>2272788</v>
      </c>
      <c r="X31" s="223">
        <f t="shared" si="5"/>
        <v>2272788</v>
      </c>
      <c r="Y31" s="224"/>
      <c r="Z31" s="167"/>
    </row>
    <row r="32" spans="1:27" s="3" customFormat="1" ht="56.25" x14ac:dyDescent="0.2">
      <c r="A32" s="40"/>
      <c r="B32" s="218">
        <v>18</v>
      </c>
      <c r="C32" s="218" t="s">
        <v>1253</v>
      </c>
      <c r="D32" s="218">
        <v>900110</v>
      </c>
      <c r="E32" s="227" t="s">
        <v>258</v>
      </c>
      <c r="F32" s="226" t="s">
        <v>666</v>
      </c>
      <c r="G32" s="228" t="s">
        <v>227</v>
      </c>
      <c r="H32" s="228" t="s">
        <v>266</v>
      </c>
      <c r="I32" s="65" t="s">
        <v>26</v>
      </c>
      <c r="J32" s="59">
        <v>38000</v>
      </c>
      <c r="K32" s="60">
        <v>29</v>
      </c>
      <c r="L32" s="60">
        <v>8773</v>
      </c>
      <c r="M32" s="60" t="s">
        <v>1454</v>
      </c>
      <c r="N32" s="61">
        <v>670586</v>
      </c>
      <c r="O32" s="62">
        <v>3960</v>
      </c>
      <c r="P32" s="59">
        <v>363189.65</v>
      </c>
      <c r="Q32" s="59">
        <f t="shared" si="0"/>
        <v>91.714558080808089</v>
      </c>
      <c r="R32" s="63">
        <v>2020</v>
      </c>
      <c r="S32" s="64">
        <v>2.61</v>
      </c>
      <c r="T32" s="222" t="s">
        <v>1554</v>
      </c>
      <c r="U32" s="222" t="s">
        <v>1554</v>
      </c>
      <c r="V32" s="223">
        <f>421299.99/1.16</f>
        <v>363189.64655172417</v>
      </c>
      <c r="W32" s="223">
        <f t="shared" si="1"/>
        <v>5055599.88</v>
      </c>
      <c r="X32" s="223">
        <f t="shared" si="5"/>
        <v>5055599.88</v>
      </c>
      <c r="Y32" s="224"/>
      <c r="Z32" s="167"/>
    </row>
    <row r="33" spans="1:26" s="3" customFormat="1" ht="56.25" x14ac:dyDescent="0.2">
      <c r="A33" s="40"/>
      <c r="B33" s="262">
        <v>19</v>
      </c>
      <c r="C33" s="262" t="s">
        <v>1254</v>
      </c>
      <c r="D33" s="262">
        <v>380200</v>
      </c>
      <c r="E33" s="269" t="s">
        <v>258</v>
      </c>
      <c r="F33" s="270" t="s">
        <v>667</v>
      </c>
      <c r="G33" s="271" t="s">
        <v>261</v>
      </c>
      <c r="H33" s="271" t="s">
        <v>267</v>
      </c>
      <c r="I33" s="65" t="s">
        <v>27</v>
      </c>
      <c r="J33" s="59">
        <v>11592.83</v>
      </c>
      <c r="K33" s="60">
        <v>21</v>
      </c>
      <c r="L33" s="60" t="s">
        <v>943</v>
      </c>
      <c r="M33" s="60" t="s">
        <v>944</v>
      </c>
      <c r="N33" s="61">
        <v>56051</v>
      </c>
      <c r="O33" s="62">
        <v>1113</v>
      </c>
      <c r="P33" s="59">
        <v>44643.31</v>
      </c>
      <c r="Q33" s="59">
        <f t="shared" si="0"/>
        <v>40.11079065588499</v>
      </c>
      <c r="R33" s="63">
        <v>2007</v>
      </c>
      <c r="S33" s="64">
        <v>0.05</v>
      </c>
      <c r="T33" s="272" t="s">
        <v>11</v>
      </c>
      <c r="U33" s="272" t="s">
        <v>13</v>
      </c>
      <c r="V33" s="267">
        <f>51786.24/1.16</f>
        <v>44643.310344827587</v>
      </c>
      <c r="W33" s="267">
        <f t="shared" si="1"/>
        <v>621434.88</v>
      </c>
      <c r="X33" s="267">
        <f t="shared" ref="X33:X34" si="6">ROUND(+V33*1.16*12*1.1,2)</f>
        <v>683578.37</v>
      </c>
      <c r="Y33" s="268" t="s">
        <v>1567</v>
      </c>
      <c r="Z33" s="167"/>
    </row>
    <row r="34" spans="1:26" s="3" customFormat="1" ht="75" x14ac:dyDescent="0.2">
      <c r="A34" s="40"/>
      <c r="B34" s="262">
        <v>20</v>
      </c>
      <c r="C34" s="262" t="s">
        <v>1255</v>
      </c>
      <c r="D34" s="262">
        <v>380200</v>
      </c>
      <c r="E34" s="269" t="s">
        <v>258</v>
      </c>
      <c r="F34" s="270" t="s">
        <v>879</v>
      </c>
      <c r="G34" s="271" t="s">
        <v>261</v>
      </c>
      <c r="H34" s="271" t="s">
        <v>1232</v>
      </c>
      <c r="I34" s="65" t="s">
        <v>606</v>
      </c>
      <c r="J34" s="59">
        <v>89533</v>
      </c>
      <c r="K34" s="60">
        <v>13</v>
      </c>
      <c r="L34" s="60" t="s">
        <v>945</v>
      </c>
      <c r="M34" s="60" t="s">
        <v>942</v>
      </c>
      <c r="N34" s="61">
        <v>100301</v>
      </c>
      <c r="O34" s="62">
        <v>2974.54</v>
      </c>
      <c r="P34" s="59">
        <v>89533</v>
      </c>
      <c r="Q34" s="59">
        <f t="shared" si="0"/>
        <v>30.09978013407115</v>
      </c>
      <c r="R34" s="63" t="s">
        <v>1334</v>
      </c>
      <c r="S34" s="64" t="s">
        <v>16</v>
      </c>
      <c r="T34" s="272" t="s">
        <v>11</v>
      </c>
      <c r="U34" s="272" t="s">
        <v>13</v>
      </c>
      <c r="V34" s="267">
        <f>103858.28/1.16</f>
        <v>89533</v>
      </c>
      <c r="W34" s="267">
        <f t="shared" si="1"/>
        <v>1246299.3599999999</v>
      </c>
      <c r="X34" s="267">
        <f t="shared" si="6"/>
        <v>1370929.3</v>
      </c>
      <c r="Y34" s="268" t="s">
        <v>1567</v>
      </c>
      <c r="Z34" s="167"/>
    </row>
    <row r="35" spans="1:26" s="3" customFormat="1" ht="93.75" x14ac:dyDescent="0.2">
      <c r="A35" s="40"/>
      <c r="B35" s="218">
        <v>21</v>
      </c>
      <c r="C35" s="218" t="s">
        <v>1252</v>
      </c>
      <c r="D35" s="218">
        <v>140100</v>
      </c>
      <c r="E35" s="227" t="s">
        <v>258</v>
      </c>
      <c r="F35" s="226" t="s">
        <v>668</v>
      </c>
      <c r="G35" s="228" t="s">
        <v>567</v>
      </c>
      <c r="H35" s="221" t="s">
        <v>268</v>
      </c>
      <c r="I35" s="65" t="s">
        <v>28</v>
      </c>
      <c r="J35" s="59">
        <v>27000</v>
      </c>
      <c r="K35" s="60">
        <v>19</v>
      </c>
      <c r="L35" s="60" t="s">
        <v>1425</v>
      </c>
      <c r="M35" s="60" t="s">
        <v>1426</v>
      </c>
      <c r="N35" s="61">
        <v>105000</v>
      </c>
      <c r="O35" s="62">
        <v>1926.4</v>
      </c>
      <c r="P35" s="59">
        <v>83000</v>
      </c>
      <c r="Q35" s="59">
        <f t="shared" si="0"/>
        <v>43.08554817275747</v>
      </c>
      <c r="R35" s="63">
        <v>2020</v>
      </c>
      <c r="S35" s="64">
        <v>1.52</v>
      </c>
      <c r="T35" s="222" t="s">
        <v>1554</v>
      </c>
      <c r="U35" s="222" t="s">
        <v>1554</v>
      </c>
      <c r="V35" s="223">
        <f>96280/1.16</f>
        <v>83000</v>
      </c>
      <c r="W35" s="223">
        <f t="shared" si="1"/>
        <v>1155360</v>
      </c>
      <c r="X35" s="223">
        <f t="shared" ref="X35:X38" si="7">ROUND(+W35,2)</f>
        <v>1155360</v>
      </c>
      <c r="Y35" s="224"/>
      <c r="Z35" s="167"/>
    </row>
    <row r="36" spans="1:26" ht="93.75" x14ac:dyDescent="0.2">
      <c r="B36" s="218">
        <v>22</v>
      </c>
      <c r="C36" s="218" t="s">
        <v>1256</v>
      </c>
      <c r="D36" s="218">
        <v>150100</v>
      </c>
      <c r="E36" s="227" t="s">
        <v>258</v>
      </c>
      <c r="F36" s="231" t="s">
        <v>884</v>
      </c>
      <c r="G36" s="228" t="s">
        <v>568</v>
      </c>
      <c r="H36" s="228" t="s">
        <v>552</v>
      </c>
      <c r="I36" s="65" t="s">
        <v>28</v>
      </c>
      <c r="J36" s="59">
        <v>165376.1</v>
      </c>
      <c r="K36" s="60">
        <v>19</v>
      </c>
      <c r="L36" s="60" t="s">
        <v>946</v>
      </c>
      <c r="M36" s="60" t="s">
        <v>947</v>
      </c>
      <c r="N36" s="61">
        <v>200013</v>
      </c>
      <c r="O36" s="62">
        <v>4790</v>
      </c>
      <c r="P36" s="59">
        <v>184879.72</v>
      </c>
      <c r="Q36" s="59">
        <f t="shared" si="0"/>
        <v>38.597018789144052</v>
      </c>
      <c r="R36" s="63" t="s">
        <v>1338</v>
      </c>
      <c r="S36" s="64" t="s">
        <v>1337</v>
      </c>
      <c r="T36" s="232" t="s">
        <v>13</v>
      </c>
      <c r="U36" s="222" t="s">
        <v>1554</v>
      </c>
      <c r="V36" s="223">
        <f>214460.48/1.16</f>
        <v>184879.72413793104</v>
      </c>
      <c r="W36" s="223">
        <f t="shared" si="1"/>
        <v>2573525.7599999998</v>
      </c>
      <c r="X36" s="223">
        <f t="shared" si="7"/>
        <v>2573525.7599999998</v>
      </c>
      <c r="Y36" s="224"/>
      <c r="Z36" s="167"/>
    </row>
    <row r="37" spans="1:26" ht="75" x14ac:dyDescent="0.2">
      <c r="B37" s="218">
        <v>23</v>
      </c>
      <c r="C37" s="218" t="s">
        <v>1257</v>
      </c>
      <c r="D37" s="218">
        <v>920201</v>
      </c>
      <c r="E37" s="227" t="s">
        <v>258</v>
      </c>
      <c r="F37" s="226" t="s">
        <v>669</v>
      </c>
      <c r="G37" s="228" t="s">
        <v>254</v>
      </c>
      <c r="H37" s="221" t="s">
        <v>269</v>
      </c>
      <c r="I37" s="65" t="s">
        <v>29</v>
      </c>
      <c r="J37" s="59">
        <v>4566.5200000000004</v>
      </c>
      <c r="K37" s="60">
        <v>20</v>
      </c>
      <c r="L37" s="60">
        <v>9367</v>
      </c>
      <c r="M37" s="60" t="s">
        <v>1538</v>
      </c>
      <c r="N37" s="61">
        <v>9481</v>
      </c>
      <c r="O37" s="62">
        <v>95.56</v>
      </c>
      <c r="P37" s="59">
        <v>9481</v>
      </c>
      <c r="Q37" s="59">
        <f t="shared" si="0"/>
        <v>99.215152783591464</v>
      </c>
      <c r="R37" s="63">
        <v>2021</v>
      </c>
      <c r="S37" s="64">
        <v>0.8</v>
      </c>
      <c r="T37" s="232" t="s">
        <v>13</v>
      </c>
      <c r="U37" s="222" t="s">
        <v>1554</v>
      </c>
      <c r="V37" s="223">
        <v>9481.2800000000007</v>
      </c>
      <c r="W37" s="223">
        <f t="shared" si="1"/>
        <v>131979.41759999999</v>
      </c>
      <c r="X37" s="223">
        <f t="shared" si="7"/>
        <v>131979.42000000001</v>
      </c>
      <c r="Y37" s="224"/>
      <c r="Z37" s="167"/>
    </row>
    <row r="38" spans="1:26" ht="56.25" x14ac:dyDescent="0.2">
      <c r="B38" s="218">
        <v>24</v>
      </c>
      <c r="C38" s="218" t="s">
        <v>1252</v>
      </c>
      <c r="D38" s="225" t="s">
        <v>1282</v>
      </c>
      <c r="E38" s="227" t="s">
        <v>258</v>
      </c>
      <c r="F38" s="226" t="s">
        <v>1475</v>
      </c>
      <c r="G38" s="228" t="s">
        <v>1464</v>
      </c>
      <c r="H38" s="221" t="s">
        <v>1476</v>
      </c>
      <c r="I38" s="65" t="s">
        <v>1477</v>
      </c>
      <c r="J38" s="59">
        <v>20000</v>
      </c>
      <c r="K38" s="60" t="s">
        <v>16</v>
      </c>
      <c r="L38" s="60">
        <v>8959</v>
      </c>
      <c r="M38" s="60" t="s">
        <v>1478</v>
      </c>
      <c r="N38" s="61">
        <v>73619</v>
      </c>
      <c r="O38" s="62">
        <v>382</v>
      </c>
      <c r="P38" s="59">
        <v>20000</v>
      </c>
      <c r="Q38" s="59">
        <f t="shared" si="0"/>
        <v>52.356020942408378</v>
      </c>
      <c r="R38" s="63" t="s">
        <v>16</v>
      </c>
      <c r="S38" s="64" t="s">
        <v>16</v>
      </c>
      <c r="T38" s="222" t="s">
        <v>1554</v>
      </c>
      <c r="U38" s="222" t="s">
        <v>1554</v>
      </c>
      <c r="V38" s="223">
        <v>20000</v>
      </c>
      <c r="W38" s="223">
        <f>+V38*12</f>
        <v>240000</v>
      </c>
      <c r="X38" s="223">
        <f t="shared" si="7"/>
        <v>240000</v>
      </c>
      <c r="Y38" s="224"/>
      <c r="Z38" s="167">
        <f>SUM(X29:X38)</f>
        <v>16142341.529999999</v>
      </c>
    </row>
    <row r="39" spans="1:26" ht="56.25" x14ac:dyDescent="0.2">
      <c r="B39" s="262">
        <v>25</v>
      </c>
      <c r="C39" s="262" t="s">
        <v>1258</v>
      </c>
      <c r="D39" s="262">
        <v>800201</v>
      </c>
      <c r="E39" s="269" t="s">
        <v>270</v>
      </c>
      <c r="F39" s="270" t="s">
        <v>670</v>
      </c>
      <c r="G39" s="264" t="s">
        <v>223</v>
      </c>
      <c r="H39" s="265" t="s">
        <v>271</v>
      </c>
      <c r="I39" s="65" t="s">
        <v>30</v>
      </c>
      <c r="J39" s="59">
        <v>12445.32</v>
      </c>
      <c r="K39" s="60">
        <v>16</v>
      </c>
      <c r="L39" s="60" t="s">
        <v>948</v>
      </c>
      <c r="M39" s="60" t="s">
        <v>949</v>
      </c>
      <c r="N39" s="61">
        <v>15809</v>
      </c>
      <c r="O39" s="62">
        <v>336.36</v>
      </c>
      <c r="P39" s="59">
        <v>14406</v>
      </c>
      <c r="Q39" s="59">
        <f t="shared" si="0"/>
        <v>42.829111666072066</v>
      </c>
      <c r="R39" s="63">
        <v>2012</v>
      </c>
      <c r="S39" s="64">
        <v>0.05</v>
      </c>
      <c r="T39" s="272" t="s">
        <v>13</v>
      </c>
      <c r="U39" s="272" t="s">
        <v>13</v>
      </c>
      <c r="V39" s="267">
        <v>14406</v>
      </c>
      <c r="W39" s="267">
        <f t="shared" si="1"/>
        <v>200531.52</v>
      </c>
      <c r="X39" s="267">
        <f t="shared" ref="X39:X41" si="8">ROUND(+V39*1.16*12*1.1,2)</f>
        <v>220584.67</v>
      </c>
      <c r="Y39" s="268" t="s">
        <v>1567</v>
      </c>
      <c r="Z39" s="167"/>
    </row>
    <row r="40" spans="1:26" ht="56.25" x14ac:dyDescent="0.2">
      <c r="B40" s="262">
        <v>26</v>
      </c>
      <c r="C40" s="262" t="s">
        <v>1259</v>
      </c>
      <c r="D40" s="262">
        <v>900110</v>
      </c>
      <c r="E40" s="269" t="s">
        <v>270</v>
      </c>
      <c r="F40" s="270" t="s">
        <v>671</v>
      </c>
      <c r="G40" s="264" t="s">
        <v>227</v>
      </c>
      <c r="H40" s="265" t="s">
        <v>1353</v>
      </c>
      <c r="I40" s="65" t="s">
        <v>31</v>
      </c>
      <c r="J40" s="59">
        <v>8500</v>
      </c>
      <c r="K40" s="60">
        <v>20</v>
      </c>
      <c r="L40" s="60">
        <v>5045</v>
      </c>
      <c r="M40" s="60" t="s">
        <v>950</v>
      </c>
      <c r="N40" s="61">
        <v>18824</v>
      </c>
      <c r="O40" s="62">
        <v>341.51</v>
      </c>
      <c r="P40" s="59">
        <v>11679.72</v>
      </c>
      <c r="Q40" s="59">
        <f t="shared" si="0"/>
        <v>34.200228397411493</v>
      </c>
      <c r="R40" s="63">
        <v>2016</v>
      </c>
      <c r="S40" s="64">
        <v>2.5399999999999999E-2</v>
      </c>
      <c r="T40" s="272" t="s">
        <v>13</v>
      </c>
      <c r="U40" s="272" t="s">
        <v>13</v>
      </c>
      <c r="V40" s="267">
        <v>11679.72</v>
      </c>
      <c r="W40" s="267">
        <f t="shared" si="1"/>
        <v>162581.70239999998</v>
      </c>
      <c r="X40" s="267">
        <f t="shared" si="8"/>
        <v>178839.87</v>
      </c>
      <c r="Y40" s="268" t="s">
        <v>1567</v>
      </c>
      <c r="Z40" s="167"/>
    </row>
    <row r="41" spans="1:26" ht="75" x14ac:dyDescent="0.2">
      <c r="B41" s="262">
        <v>27</v>
      </c>
      <c r="C41" s="262" t="s">
        <v>1260</v>
      </c>
      <c r="D41" s="262">
        <v>380200</v>
      </c>
      <c r="E41" s="269" t="s">
        <v>270</v>
      </c>
      <c r="F41" s="270" t="s">
        <v>672</v>
      </c>
      <c r="G41" s="264" t="s">
        <v>261</v>
      </c>
      <c r="H41" s="265" t="s">
        <v>272</v>
      </c>
      <c r="I41" s="65" t="s">
        <v>32</v>
      </c>
      <c r="J41" s="59">
        <v>16000</v>
      </c>
      <c r="K41" s="60">
        <v>20</v>
      </c>
      <c r="L41" s="60" t="s">
        <v>951</v>
      </c>
      <c r="M41" s="60" t="s">
        <v>952</v>
      </c>
      <c r="N41" s="61">
        <v>26897</v>
      </c>
      <c r="O41" s="71">
        <v>1034.5</v>
      </c>
      <c r="P41" s="59">
        <v>19360</v>
      </c>
      <c r="Q41" s="59">
        <f t="shared" si="0"/>
        <v>18.714354760753988</v>
      </c>
      <c r="R41" s="63">
        <v>2011</v>
      </c>
      <c r="S41" s="64">
        <v>0.1</v>
      </c>
      <c r="T41" s="272" t="s">
        <v>11</v>
      </c>
      <c r="U41" s="272" t="s">
        <v>13</v>
      </c>
      <c r="V41" s="267">
        <v>19360</v>
      </c>
      <c r="W41" s="267">
        <f t="shared" si="1"/>
        <v>269491.19999999995</v>
      </c>
      <c r="X41" s="267">
        <f t="shared" si="8"/>
        <v>296440.32000000001</v>
      </c>
      <c r="Y41" s="268" t="s">
        <v>1567</v>
      </c>
      <c r="Z41" s="167"/>
    </row>
    <row r="42" spans="1:26" ht="75" x14ac:dyDescent="0.2">
      <c r="B42" s="218">
        <v>28</v>
      </c>
      <c r="C42" s="218" t="s">
        <v>1533</v>
      </c>
      <c r="D42" s="218" t="s">
        <v>1282</v>
      </c>
      <c r="E42" s="227" t="s">
        <v>270</v>
      </c>
      <c r="F42" s="226" t="s">
        <v>1479</v>
      </c>
      <c r="G42" s="220" t="s">
        <v>1464</v>
      </c>
      <c r="H42" s="221" t="s">
        <v>1518</v>
      </c>
      <c r="I42" s="65" t="s">
        <v>1477</v>
      </c>
      <c r="J42" s="59">
        <v>14000</v>
      </c>
      <c r="K42" s="60" t="s">
        <v>16</v>
      </c>
      <c r="L42" s="63">
        <v>9015</v>
      </c>
      <c r="M42" s="60" t="s">
        <v>1480</v>
      </c>
      <c r="N42" s="61">
        <v>17388</v>
      </c>
      <c r="O42" s="71">
        <v>125.18</v>
      </c>
      <c r="P42" s="59">
        <v>14000</v>
      </c>
      <c r="Q42" s="59">
        <f t="shared" si="0"/>
        <v>111.83895190925067</v>
      </c>
      <c r="R42" s="63" t="s">
        <v>16</v>
      </c>
      <c r="S42" s="64" t="s">
        <v>16</v>
      </c>
      <c r="T42" s="222" t="s">
        <v>1554</v>
      </c>
      <c r="U42" s="222" t="s">
        <v>1554</v>
      </c>
      <c r="V42" s="223">
        <v>14000</v>
      </c>
      <c r="W42" s="223">
        <f>+V42*12</f>
        <v>168000</v>
      </c>
      <c r="X42" s="223">
        <f t="shared" ref="X42:X43" si="9">ROUND(+W42,2)</f>
        <v>168000</v>
      </c>
      <c r="Y42" s="224"/>
      <c r="Z42" s="167">
        <f>SUM(X39:X42)</f>
        <v>863864.8600000001</v>
      </c>
    </row>
    <row r="43" spans="1:26" s="20" customFormat="1" ht="112.5" x14ac:dyDescent="0.2">
      <c r="A43" s="43"/>
      <c r="B43" s="218">
        <v>29</v>
      </c>
      <c r="C43" s="218" t="s">
        <v>1261</v>
      </c>
      <c r="D43" s="218">
        <v>310203</v>
      </c>
      <c r="E43" s="227" t="s">
        <v>233</v>
      </c>
      <c r="F43" s="226" t="s">
        <v>673</v>
      </c>
      <c r="G43" s="228" t="s">
        <v>234</v>
      </c>
      <c r="H43" s="221" t="s">
        <v>238</v>
      </c>
      <c r="I43" s="65" t="s">
        <v>33</v>
      </c>
      <c r="J43" s="59">
        <v>9247</v>
      </c>
      <c r="K43" s="60">
        <v>31</v>
      </c>
      <c r="L43" s="60" t="s">
        <v>906</v>
      </c>
      <c r="M43" s="60" t="s">
        <v>907</v>
      </c>
      <c r="N43" s="61">
        <v>162361.59</v>
      </c>
      <c r="O43" s="62">
        <v>42004.9</v>
      </c>
      <c r="P43" s="59">
        <v>8118.07</v>
      </c>
      <c r="Q43" s="59">
        <f t="shared" si="0"/>
        <v>0.1932648333884856</v>
      </c>
      <c r="R43" s="63" t="s">
        <v>1332</v>
      </c>
      <c r="S43" s="64" t="s">
        <v>1339</v>
      </c>
      <c r="T43" s="222" t="s">
        <v>1554</v>
      </c>
      <c r="U43" s="222" t="s">
        <v>1554</v>
      </c>
      <c r="V43" s="223">
        <f>9416.96/1.16</f>
        <v>8118.0689655172409</v>
      </c>
      <c r="W43" s="223">
        <f t="shared" si="1"/>
        <v>113003.51999999999</v>
      </c>
      <c r="X43" s="223">
        <f t="shared" si="9"/>
        <v>113003.52</v>
      </c>
      <c r="Y43" s="224"/>
      <c r="Z43" s="167"/>
    </row>
    <row r="44" spans="1:26" ht="131.25" x14ac:dyDescent="0.2">
      <c r="B44" s="290">
        <v>30</v>
      </c>
      <c r="C44" s="290" t="s">
        <v>1262</v>
      </c>
      <c r="D44" s="290">
        <v>710100</v>
      </c>
      <c r="E44" s="297" t="s">
        <v>233</v>
      </c>
      <c r="F44" s="298" t="s">
        <v>674</v>
      </c>
      <c r="G44" s="292" t="s">
        <v>621</v>
      </c>
      <c r="H44" s="293" t="s">
        <v>239</v>
      </c>
      <c r="I44" s="65" t="s">
        <v>34</v>
      </c>
      <c r="J44" s="59">
        <v>40000</v>
      </c>
      <c r="K44" s="60">
        <v>16</v>
      </c>
      <c r="L44" s="60" t="s">
        <v>908</v>
      </c>
      <c r="M44" s="60" t="s">
        <v>909</v>
      </c>
      <c r="N44" s="61">
        <v>40004</v>
      </c>
      <c r="O44" s="62">
        <v>880</v>
      </c>
      <c r="P44" s="59">
        <v>40000</v>
      </c>
      <c r="Q44" s="59">
        <f t="shared" si="0"/>
        <v>45.454545454545453</v>
      </c>
      <c r="R44" s="63" t="s">
        <v>1334</v>
      </c>
      <c r="S44" s="64" t="s">
        <v>16</v>
      </c>
      <c r="T44" s="294" t="s">
        <v>1554</v>
      </c>
      <c r="U44" s="300" t="s">
        <v>11</v>
      </c>
      <c r="V44" s="295">
        <f>46400/1.16</f>
        <v>40000</v>
      </c>
      <c r="W44" s="295">
        <f t="shared" si="1"/>
        <v>556800</v>
      </c>
      <c r="X44" s="295">
        <f>ROUND(+V44*1.15*12*1.16,2)</f>
        <v>640320</v>
      </c>
      <c r="Y44" s="296" t="s">
        <v>1566</v>
      </c>
      <c r="Z44" s="167"/>
    </row>
    <row r="45" spans="1:26" ht="75" x14ac:dyDescent="0.2">
      <c r="B45" s="262">
        <v>31</v>
      </c>
      <c r="C45" s="262" t="s">
        <v>1263</v>
      </c>
      <c r="D45" s="262">
        <v>380200</v>
      </c>
      <c r="E45" s="269" t="s">
        <v>233</v>
      </c>
      <c r="F45" s="270" t="s">
        <v>675</v>
      </c>
      <c r="G45" s="271" t="s">
        <v>235</v>
      </c>
      <c r="H45" s="275" t="s">
        <v>553</v>
      </c>
      <c r="I45" s="65" t="s">
        <v>204</v>
      </c>
      <c r="J45" s="59">
        <v>30000</v>
      </c>
      <c r="K45" s="60">
        <v>6</v>
      </c>
      <c r="L45" s="60" t="s">
        <v>910</v>
      </c>
      <c r="M45" s="60" t="s">
        <v>911</v>
      </c>
      <c r="N45" s="61">
        <v>61769</v>
      </c>
      <c r="O45" s="62">
        <v>838</v>
      </c>
      <c r="P45" s="59">
        <v>32031</v>
      </c>
      <c r="Q45" s="59">
        <f t="shared" si="0"/>
        <v>38.223150357995223</v>
      </c>
      <c r="R45" s="72">
        <v>2018</v>
      </c>
      <c r="S45" s="64" t="s">
        <v>592</v>
      </c>
      <c r="T45" s="272" t="s">
        <v>13</v>
      </c>
      <c r="U45" s="272" t="s">
        <v>13</v>
      </c>
      <c r="V45" s="267">
        <f>37155.96/1.16</f>
        <v>32031</v>
      </c>
      <c r="W45" s="267">
        <f t="shared" si="1"/>
        <v>445871.52</v>
      </c>
      <c r="X45" s="267">
        <f>ROUND(+V45*1.16*12*1.1,2)</f>
        <v>490458.67</v>
      </c>
      <c r="Y45" s="268" t="s">
        <v>1567</v>
      </c>
      <c r="Z45" s="167"/>
    </row>
    <row r="46" spans="1:26" ht="75" x14ac:dyDescent="0.2">
      <c r="B46" s="290">
        <v>32</v>
      </c>
      <c r="C46" s="290" t="s">
        <v>1264</v>
      </c>
      <c r="D46" s="290">
        <v>380200</v>
      </c>
      <c r="E46" s="297" t="s">
        <v>233</v>
      </c>
      <c r="F46" s="298" t="s">
        <v>676</v>
      </c>
      <c r="G46" s="299" t="s">
        <v>236</v>
      </c>
      <c r="H46" s="293" t="s">
        <v>240</v>
      </c>
      <c r="I46" s="65" t="s">
        <v>23</v>
      </c>
      <c r="J46" s="59">
        <v>17000</v>
      </c>
      <c r="K46" s="60">
        <v>19</v>
      </c>
      <c r="L46" s="60" t="s">
        <v>912</v>
      </c>
      <c r="M46" s="60" t="s">
        <v>913</v>
      </c>
      <c r="N46" s="61">
        <v>46338</v>
      </c>
      <c r="O46" s="62">
        <v>1087</v>
      </c>
      <c r="P46" s="59">
        <v>21000</v>
      </c>
      <c r="Q46" s="59">
        <f t="shared" si="0"/>
        <v>19.319227230910762</v>
      </c>
      <c r="R46" s="63">
        <v>2011</v>
      </c>
      <c r="S46" s="64">
        <v>7.6999999999999999E-2</v>
      </c>
      <c r="T46" s="300" t="s">
        <v>11</v>
      </c>
      <c r="U46" s="300" t="s">
        <v>11</v>
      </c>
      <c r="V46" s="295">
        <f>24360/1.16</f>
        <v>21000</v>
      </c>
      <c r="W46" s="295">
        <f t="shared" si="1"/>
        <v>292320</v>
      </c>
      <c r="X46" s="295">
        <f t="shared" ref="X46:X47" si="10">ROUND(+V46*1.15*12*1.16,2)</f>
        <v>336168</v>
      </c>
      <c r="Y46" s="296" t="s">
        <v>1566</v>
      </c>
      <c r="Z46" s="167"/>
    </row>
    <row r="47" spans="1:26" ht="93.75" x14ac:dyDescent="0.2">
      <c r="B47" s="290">
        <v>33</v>
      </c>
      <c r="C47" s="290" t="s">
        <v>1265</v>
      </c>
      <c r="D47" s="290">
        <v>150902</v>
      </c>
      <c r="E47" s="297" t="s">
        <v>233</v>
      </c>
      <c r="F47" s="298" t="s">
        <v>885</v>
      </c>
      <c r="G47" s="299" t="s">
        <v>634</v>
      </c>
      <c r="H47" s="293" t="s">
        <v>241</v>
      </c>
      <c r="I47" s="65" t="s">
        <v>35</v>
      </c>
      <c r="J47" s="59">
        <v>66000</v>
      </c>
      <c r="K47" s="60">
        <v>15</v>
      </c>
      <c r="L47" s="60" t="s">
        <v>914</v>
      </c>
      <c r="M47" s="60" t="s">
        <v>915</v>
      </c>
      <c r="N47" s="61">
        <v>66001.8</v>
      </c>
      <c r="O47" s="62">
        <v>2385.3200000000002</v>
      </c>
      <c r="P47" s="59">
        <v>66000</v>
      </c>
      <c r="Q47" s="59">
        <f t="shared" si="0"/>
        <v>27.669243539650864</v>
      </c>
      <c r="R47" s="63" t="s">
        <v>1334</v>
      </c>
      <c r="S47" s="64" t="s">
        <v>16</v>
      </c>
      <c r="T47" s="300" t="s">
        <v>11</v>
      </c>
      <c r="U47" s="300" t="s">
        <v>11</v>
      </c>
      <c r="V47" s="295">
        <f>76560/1.16</f>
        <v>66000</v>
      </c>
      <c r="W47" s="295">
        <f t="shared" si="1"/>
        <v>918720</v>
      </c>
      <c r="X47" s="295">
        <f t="shared" si="10"/>
        <v>1056528</v>
      </c>
      <c r="Y47" s="296" t="s">
        <v>1566</v>
      </c>
      <c r="Z47" s="167"/>
    </row>
    <row r="48" spans="1:26" ht="75" x14ac:dyDescent="0.2">
      <c r="B48" s="262">
        <v>34</v>
      </c>
      <c r="C48" s="262" t="s">
        <v>1266</v>
      </c>
      <c r="D48" s="262">
        <v>140100</v>
      </c>
      <c r="E48" s="269" t="s">
        <v>233</v>
      </c>
      <c r="F48" s="270" t="s">
        <v>677</v>
      </c>
      <c r="G48" s="271" t="s">
        <v>387</v>
      </c>
      <c r="H48" s="265" t="s">
        <v>242</v>
      </c>
      <c r="I48" s="65" t="s">
        <v>36</v>
      </c>
      <c r="J48" s="59">
        <v>33700</v>
      </c>
      <c r="K48" s="60">
        <v>10</v>
      </c>
      <c r="L48" s="60" t="s">
        <v>916</v>
      </c>
      <c r="M48" s="60" t="s">
        <v>917</v>
      </c>
      <c r="N48" s="61">
        <v>33708</v>
      </c>
      <c r="O48" s="62">
        <v>592.4</v>
      </c>
      <c r="P48" s="59">
        <v>33700</v>
      </c>
      <c r="Q48" s="59">
        <f t="shared" si="0"/>
        <v>56.88723835246455</v>
      </c>
      <c r="R48" s="63" t="s">
        <v>1334</v>
      </c>
      <c r="S48" s="64" t="s">
        <v>16</v>
      </c>
      <c r="T48" s="266" t="s">
        <v>1554</v>
      </c>
      <c r="U48" s="272" t="s">
        <v>13</v>
      </c>
      <c r="V48" s="267">
        <f>39092/1.16</f>
        <v>33700</v>
      </c>
      <c r="W48" s="267">
        <f t="shared" si="1"/>
        <v>469104</v>
      </c>
      <c r="X48" s="267">
        <f>ROUND(+V48*1.16*12*1.1,2)</f>
        <v>516014.4</v>
      </c>
      <c r="Y48" s="268" t="s">
        <v>1567</v>
      </c>
      <c r="Z48" s="167"/>
    </row>
    <row r="49" spans="1:26" ht="75" x14ac:dyDescent="0.2">
      <c r="B49" s="218">
        <v>35</v>
      </c>
      <c r="C49" s="225" t="s">
        <v>1262</v>
      </c>
      <c r="D49" s="218" t="s">
        <v>1282</v>
      </c>
      <c r="E49" s="227" t="s">
        <v>233</v>
      </c>
      <c r="F49" s="226" t="s">
        <v>1481</v>
      </c>
      <c r="G49" s="228" t="s">
        <v>1464</v>
      </c>
      <c r="H49" s="221" t="s">
        <v>1482</v>
      </c>
      <c r="I49" s="65" t="s">
        <v>1466</v>
      </c>
      <c r="J49" s="59">
        <v>15000</v>
      </c>
      <c r="K49" s="60" t="s">
        <v>16</v>
      </c>
      <c r="L49" s="60">
        <v>8962</v>
      </c>
      <c r="M49" s="60" t="s">
        <v>1478</v>
      </c>
      <c r="N49" s="61">
        <v>20230</v>
      </c>
      <c r="O49" s="62">
        <v>250</v>
      </c>
      <c r="P49" s="59">
        <v>15000</v>
      </c>
      <c r="Q49" s="59">
        <f t="shared" si="0"/>
        <v>60</v>
      </c>
      <c r="R49" s="63" t="s">
        <v>16</v>
      </c>
      <c r="S49" s="64" t="s">
        <v>16</v>
      </c>
      <c r="T49" s="222" t="s">
        <v>1554</v>
      </c>
      <c r="U49" s="222" t="s">
        <v>1554</v>
      </c>
      <c r="V49" s="223">
        <v>15000</v>
      </c>
      <c r="W49" s="223">
        <f>+V49*12</f>
        <v>180000</v>
      </c>
      <c r="X49" s="223">
        <f>ROUND(+W49,2)</f>
        <v>180000</v>
      </c>
      <c r="Y49" s="224"/>
      <c r="Z49" s="167">
        <f>SUM(X43:X49)</f>
        <v>3332492.59</v>
      </c>
    </row>
    <row r="50" spans="1:26" ht="75" x14ac:dyDescent="0.2">
      <c r="B50" s="262">
        <v>36</v>
      </c>
      <c r="C50" s="262" t="s">
        <v>1267</v>
      </c>
      <c r="D50" s="262">
        <v>200200</v>
      </c>
      <c r="E50" s="269" t="s">
        <v>257</v>
      </c>
      <c r="F50" s="270" t="s">
        <v>784</v>
      </c>
      <c r="G50" s="264" t="s">
        <v>243</v>
      </c>
      <c r="H50" s="265" t="s">
        <v>247</v>
      </c>
      <c r="I50" s="65" t="s">
        <v>37</v>
      </c>
      <c r="J50" s="59">
        <v>6000</v>
      </c>
      <c r="K50" s="60">
        <v>30</v>
      </c>
      <c r="L50" s="60" t="s">
        <v>918</v>
      </c>
      <c r="M50" s="60" t="s">
        <v>919</v>
      </c>
      <c r="N50" s="61">
        <v>40744</v>
      </c>
      <c r="O50" s="62">
        <v>1293.24</v>
      </c>
      <c r="P50" s="59">
        <v>11157</v>
      </c>
      <c r="Q50" s="59">
        <f t="shared" si="0"/>
        <v>8.6271689709566672</v>
      </c>
      <c r="R50" s="63">
        <v>2010</v>
      </c>
      <c r="S50" s="64">
        <v>0.05</v>
      </c>
      <c r="T50" s="272" t="s">
        <v>13</v>
      </c>
      <c r="U50" s="272" t="s">
        <v>13</v>
      </c>
      <c r="V50" s="267">
        <f>12942.12/1.16</f>
        <v>11157.000000000002</v>
      </c>
      <c r="W50" s="267">
        <f t="shared" si="1"/>
        <v>155305.44</v>
      </c>
      <c r="X50" s="267">
        <f t="shared" ref="X50:X51" si="11">ROUND(+V50*1.16*12*1.1,2)</f>
        <v>170835.98</v>
      </c>
      <c r="Y50" s="268" t="s">
        <v>1567</v>
      </c>
      <c r="Z50" s="167"/>
    </row>
    <row r="51" spans="1:26" ht="93.75" x14ac:dyDescent="0.2">
      <c r="B51" s="262">
        <v>37</v>
      </c>
      <c r="C51" s="262" t="s">
        <v>1268</v>
      </c>
      <c r="D51" s="262">
        <v>200200</v>
      </c>
      <c r="E51" s="269" t="s">
        <v>257</v>
      </c>
      <c r="F51" s="270" t="s">
        <v>1399</v>
      </c>
      <c r="G51" s="264" t="s">
        <v>244</v>
      </c>
      <c r="H51" s="276" t="s">
        <v>1400</v>
      </c>
      <c r="I51" s="65" t="s">
        <v>1401</v>
      </c>
      <c r="J51" s="59">
        <v>7814</v>
      </c>
      <c r="K51" s="60">
        <v>1</v>
      </c>
      <c r="L51" s="60">
        <v>8223</v>
      </c>
      <c r="M51" s="60" t="s">
        <v>1402</v>
      </c>
      <c r="N51" s="61">
        <v>7814</v>
      </c>
      <c r="O51" s="62">
        <v>136.38999999999999</v>
      </c>
      <c r="P51" s="59">
        <v>7814</v>
      </c>
      <c r="Q51" s="59">
        <f t="shared" si="0"/>
        <v>57.291590292543447</v>
      </c>
      <c r="R51" s="63" t="s">
        <v>16</v>
      </c>
      <c r="S51" s="64" t="s">
        <v>16</v>
      </c>
      <c r="T51" s="272" t="s">
        <v>13</v>
      </c>
      <c r="U51" s="272" t="s">
        <v>13</v>
      </c>
      <c r="V51" s="267">
        <f>9064.24/1.16</f>
        <v>7814</v>
      </c>
      <c r="W51" s="267">
        <f t="shared" si="1"/>
        <v>108770.88</v>
      </c>
      <c r="X51" s="267">
        <f t="shared" si="11"/>
        <v>119647.97</v>
      </c>
      <c r="Y51" s="268" t="s">
        <v>1567</v>
      </c>
      <c r="Z51" s="167"/>
    </row>
    <row r="52" spans="1:26" ht="93.75" x14ac:dyDescent="0.2">
      <c r="B52" s="290">
        <v>38</v>
      </c>
      <c r="C52" s="290" t="s">
        <v>1269</v>
      </c>
      <c r="D52" s="290">
        <v>200200</v>
      </c>
      <c r="E52" s="297" t="s">
        <v>257</v>
      </c>
      <c r="F52" s="298" t="s">
        <v>785</v>
      </c>
      <c r="G52" s="292" t="s">
        <v>245</v>
      </c>
      <c r="H52" s="293" t="s">
        <v>248</v>
      </c>
      <c r="I52" s="65" t="s">
        <v>38</v>
      </c>
      <c r="J52" s="59">
        <v>3500</v>
      </c>
      <c r="K52" s="60">
        <v>21</v>
      </c>
      <c r="L52" s="60" t="s">
        <v>921</v>
      </c>
      <c r="M52" s="60" t="s">
        <v>922</v>
      </c>
      <c r="N52" s="61">
        <v>7801</v>
      </c>
      <c r="O52" s="62">
        <v>210.12</v>
      </c>
      <c r="P52" s="59">
        <v>3675</v>
      </c>
      <c r="Q52" s="59">
        <f t="shared" si="0"/>
        <v>17.490005711022274</v>
      </c>
      <c r="R52" s="63">
        <v>2010</v>
      </c>
      <c r="S52" s="64">
        <v>0.05</v>
      </c>
      <c r="T52" s="300" t="s">
        <v>13</v>
      </c>
      <c r="U52" s="300" t="s">
        <v>11</v>
      </c>
      <c r="V52" s="295">
        <f>4263/1.16</f>
        <v>3675.0000000000005</v>
      </c>
      <c r="W52" s="295">
        <f t="shared" si="1"/>
        <v>51156</v>
      </c>
      <c r="X52" s="295">
        <f>ROUND(+V52*1.15*12*1.16,2)</f>
        <v>58829.4</v>
      </c>
      <c r="Y52" s="296" t="s">
        <v>1566</v>
      </c>
      <c r="Z52" s="167"/>
    </row>
    <row r="53" spans="1:26" ht="112.5" x14ac:dyDescent="0.2">
      <c r="B53" s="262">
        <v>39</v>
      </c>
      <c r="C53" s="262" t="s">
        <v>1270</v>
      </c>
      <c r="D53" s="262">
        <v>200200</v>
      </c>
      <c r="E53" s="269" t="s">
        <v>257</v>
      </c>
      <c r="F53" s="277" t="s">
        <v>786</v>
      </c>
      <c r="G53" s="264" t="s">
        <v>246</v>
      </c>
      <c r="H53" s="271" t="s">
        <v>554</v>
      </c>
      <c r="I53" s="65" t="s">
        <v>39</v>
      </c>
      <c r="J53" s="59">
        <v>7500</v>
      </c>
      <c r="K53" s="60">
        <v>29</v>
      </c>
      <c r="L53" s="60" t="s">
        <v>923</v>
      </c>
      <c r="M53" s="60" t="s">
        <v>920</v>
      </c>
      <c r="N53" s="61">
        <v>14921</v>
      </c>
      <c r="O53" s="62">
        <v>367</v>
      </c>
      <c r="P53" s="59">
        <v>14921</v>
      </c>
      <c r="Q53" s="59">
        <f t="shared" si="0"/>
        <v>40.656675749318801</v>
      </c>
      <c r="R53" s="63">
        <v>2010</v>
      </c>
      <c r="S53" s="64">
        <v>0.05</v>
      </c>
      <c r="T53" s="272" t="s">
        <v>13</v>
      </c>
      <c r="U53" s="272" t="s">
        <v>13</v>
      </c>
      <c r="V53" s="267">
        <f>17308.36/1.16</f>
        <v>14921.000000000002</v>
      </c>
      <c r="W53" s="267">
        <f t="shared" si="1"/>
        <v>207700.32</v>
      </c>
      <c r="X53" s="267">
        <f t="shared" ref="X53:X55" si="12">ROUND(+V53*1.16*12*1.1,2)</f>
        <v>228470.35</v>
      </c>
      <c r="Y53" s="268" t="s">
        <v>1567</v>
      </c>
      <c r="Z53" s="167"/>
    </row>
    <row r="54" spans="1:26" ht="75" x14ac:dyDescent="0.2">
      <c r="B54" s="262">
        <v>40</v>
      </c>
      <c r="C54" s="262" t="s">
        <v>1271</v>
      </c>
      <c r="D54" s="262">
        <v>900110</v>
      </c>
      <c r="E54" s="269" t="s">
        <v>257</v>
      </c>
      <c r="F54" s="270" t="s">
        <v>787</v>
      </c>
      <c r="G54" s="264" t="s">
        <v>227</v>
      </c>
      <c r="H54" s="271" t="s">
        <v>608</v>
      </c>
      <c r="I54" s="65" t="s">
        <v>40</v>
      </c>
      <c r="J54" s="59">
        <v>23000</v>
      </c>
      <c r="K54" s="60">
        <v>27</v>
      </c>
      <c r="L54" s="60" t="s">
        <v>924</v>
      </c>
      <c r="M54" s="60" t="s">
        <v>925</v>
      </c>
      <c r="N54" s="61">
        <v>56651</v>
      </c>
      <c r="O54" s="62">
        <v>895.23</v>
      </c>
      <c r="P54" s="59">
        <v>52241.7</v>
      </c>
      <c r="Q54" s="59">
        <f t="shared" si="0"/>
        <v>58.355618109312687</v>
      </c>
      <c r="R54" s="63">
        <v>2009</v>
      </c>
      <c r="S54" s="64">
        <v>0.05</v>
      </c>
      <c r="T54" s="272" t="s">
        <v>13</v>
      </c>
      <c r="U54" s="272" t="s">
        <v>13</v>
      </c>
      <c r="V54" s="267">
        <f>56421.04/1.16</f>
        <v>48638.827586206899</v>
      </c>
      <c r="W54" s="267">
        <f t="shared" si="1"/>
        <v>677052.48</v>
      </c>
      <c r="X54" s="267">
        <f t="shared" si="12"/>
        <v>744757.73</v>
      </c>
      <c r="Y54" s="268" t="s">
        <v>1567</v>
      </c>
      <c r="Z54" s="167"/>
    </row>
    <row r="55" spans="1:26" ht="75" x14ac:dyDescent="0.2">
      <c r="B55" s="262">
        <v>41</v>
      </c>
      <c r="C55" s="262" t="s">
        <v>1272</v>
      </c>
      <c r="D55" s="262">
        <v>900110</v>
      </c>
      <c r="E55" s="269" t="s">
        <v>257</v>
      </c>
      <c r="F55" s="270" t="s">
        <v>788</v>
      </c>
      <c r="G55" s="264" t="s">
        <v>227</v>
      </c>
      <c r="H55" s="271" t="s">
        <v>555</v>
      </c>
      <c r="I55" s="65" t="s">
        <v>41</v>
      </c>
      <c r="J55" s="59">
        <v>20326</v>
      </c>
      <c r="K55" s="60">
        <v>9</v>
      </c>
      <c r="L55" s="60" t="s">
        <v>926</v>
      </c>
      <c r="M55" s="60" t="s">
        <v>927</v>
      </c>
      <c r="N55" s="61">
        <v>20326</v>
      </c>
      <c r="O55" s="62">
        <v>900</v>
      </c>
      <c r="P55" s="59">
        <v>20326</v>
      </c>
      <c r="Q55" s="59">
        <f t="shared" si="0"/>
        <v>22.584444444444443</v>
      </c>
      <c r="R55" s="63" t="s">
        <v>1334</v>
      </c>
      <c r="S55" s="64" t="s">
        <v>16</v>
      </c>
      <c r="T55" s="272" t="s">
        <v>13</v>
      </c>
      <c r="U55" s="272" t="s">
        <v>13</v>
      </c>
      <c r="V55" s="267">
        <f>23578.16/1.16</f>
        <v>20326</v>
      </c>
      <c r="W55" s="267">
        <f t="shared" si="1"/>
        <v>282937.92</v>
      </c>
      <c r="X55" s="267">
        <f t="shared" si="12"/>
        <v>311231.71000000002</v>
      </c>
      <c r="Y55" s="268" t="s">
        <v>1567</v>
      </c>
      <c r="Z55" s="167"/>
    </row>
    <row r="56" spans="1:26" ht="56.25" x14ac:dyDescent="0.2">
      <c r="B56" s="290">
        <v>42</v>
      </c>
      <c r="C56" s="290" t="s">
        <v>1273</v>
      </c>
      <c r="D56" s="290">
        <v>900110</v>
      </c>
      <c r="E56" s="297" t="s">
        <v>257</v>
      </c>
      <c r="F56" s="298" t="s">
        <v>789</v>
      </c>
      <c r="G56" s="303" t="s">
        <v>227</v>
      </c>
      <c r="H56" s="299" t="s">
        <v>556</v>
      </c>
      <c r="I56" s="65" t="s">
        <v>42</v>
      </c>
      <c r="J56" s="59">
        <v>30600</v>
      </c>
      <c r="K56" s="60">
        <v>15</v>
      </c>
      <c r="L56" s="60" t="s">
        <v>928</v>
      </c>
      <c r="M56" s="60" t="s">
        <v>60</v>
      </c>
      <c r="N56" s="61">
        <v>47600</v>
      </c>
      <c r="O56" s="62">
        <v>800</v>
      </c>
      <c r="P56" s="59">
        <v>33735</v>
      </c>
      <c r="Q56" s="59">
        <f t="shared" si="0"/>
        <v>42.168750000000003</v>
      </c>
      <c r="R56" s="63">
        <v>2008</v>
      </c>
      <c r="S56" s="64">
        <v>0.05</v>
      </c>
      <c r="T56" s="300" t="s">
        <v>11</v>
      </c>
      <c r="U56" s="300" t="s">
        <v>11</v>
      </c>
      <c r="V56" s="295">
        <f>39132.6/1.16</f>
        <v>33735</v>
      </c>
      <c r="W56" s="295">
        <f t="shared" si="1"/>
        <v>469591.19999999995</v>
      </c>
      <c r="X56" s="295">
        <f>ROUND(+V56*1.15*12*1.16,2)</f>
        <v>540029.88</v>
      </c>
      <c r="Y56" s="296" t="s">
        <v>1566</v>
      </c>
      <c r="Z56" s="167"/>
    </row>
    <row r="57" spans="1:26" ht="112.5" x14ac:dyDescent="0.2">
      <c r="B57" s="262">
        <v>43</v>
      </c>
      <c r="C57" s="262" t="s">
        <v>1274</v>
      </c>
      <c r="D57" s="262">
        <v>900110</v>
      </c>
      <c r="E57" s="269" t="s">
        <v>257</v>
      </c>
      <c r="F57" s="270" t="s">
        <v>790</v>
      </c>
      <c r="G57" s="264" t="s">
        <v>227</v>
      </c>
      <c r="H57" s="271" t="s">
        <v>554</v>
      </c>
      <c r="I57" s="65" t="s">
        <v>208</v>
      </c>
      <c r="J57" s="59">
        <v>21849</v>
      </c>
      <c r="K57" s="60">
        <v>6</v>
      </c>
      <c r="L57" s="66" t="s">
        <v>929</v>
      </c>
      <c r="M57" s="66" t="s">
        <v>930</v>
      </c>
      <c r="N57" s="67">
        <v>69175</v>
      </c>
      <c r="O57" s="68">
        <v>757.5</v>
      </c>
      <c r="P57" s="59">
        <v>21849</v>
      </c>
      <c r="Q57" s="59">
        <f t="shared" si="0"/>
        <v>28.843564356435643</v>
      </c>
      <c r="R57" s="63" t="s">
        <v>1334</v>
      </c>
      <c r="S57" s="64" t="s">
        <v>16</v>
      </c>
      <c r="T57" s="272" t="s">
        <v>13</v>
      </c>
      <c r="U57" s="272" t="s">
        <v>13</v>
      </c>
      <c r="V57" s="267">
        <f>25344.84/1.16</f>
        <v>21849</v>
      </c>
      <c r="W57" s="267">
        <f t="shared" si="1"/>
        <v>304138.07999999996</v>
      </c>
      <c r="X57" s="267">
        <f t="shared" ref="X57:X58" si="13">ROUND(+V57*1.16*12*1.1,2)</f>
        <v>334551.89</v>
      </c>
      <c r="Y57" s="268" t="s">
        <v>1567</v>
      </c>
      <c r="Z57" s="167"/>
    </row>
    <row r="58" spans="1:26" ht="56.25" x14ac:dyDescent="0.2">
      <c r="B58" s="262">
        <v>44</v>
      </c>
      <c r="C58" s="262" t="s">
        <v>1275</v>
      </c>
      <c r="D58" s="262">
        <v>380200</v>
      </c>
      <c r="E58" s="269" t="s">
        <v>257</v>
      </c>
      <c r="F58" s="270" t="s">
        <v>791</v>
      </c>
      <c r="G58" s="264" t="s">
        <v>249</v>
      </c>
      <c r="H58" s="278" t="s">
        <v>607</v>
      </c>
      <c r="I58" s="65" t="s">
        <v>43</v>
      </c>
      <c r="J58" s="59">
        <v>10000</v>
      </c>
      <c r="K58" s="60">
        <v>29</v>
      </c>
      <c r="L58" s="60" t="s">
        <v>931</v>
      </c>
      <c r="M58" s="60" t="s">
        <v>932</v>
      </c>
      <c r="N58" s="61">
        <v>26357</v>
      </c>
      <c r="O58" s="62">
        <v>1181.4000000000001</v>
      </c>
      <c r="P58" s="59">
        <v>23049.599999999999</v>
      </c>
      <c r="Q58" s="59">
        <f t="shared" si="0"/>
        <v>19.51041137633316</v>
      </c>
      <c r="R58" s="63">
        <v>2010</v>
      </c>
      <c r="S58" s="64">
        <v>0.05</v>
      </c>
      <c r="T58" s="272" t="s">
        <v>11</v>
      </c>
      <c r="U58" s="272" t="s">
        <v>13</v>
      </c>
      <c r="V58" s="267">
        <f>24410/1.16</f>
        <v>21043.103448275862</v>
      </c>
      <c r="W58" s="267">
        <f t="shared" si="1"/>
        <v>292920</v>
      </c>
      <c r="X58" s="267">
        <f t="shared" si="13"/>
        <v>322212</v>
      </c>
      <c r="Y58" s="268" t="s">
        <v>1567</v>
      </c>
      <c r="Z58" s="167"/>
    </row>
    <row r="59" spans="1:26" ht="93.75" x14ac:dyDescent="0.2">
      <c r="B59" s="290">
        <v>45</v>
      </c>
      <c r="C59" s="290" t="s">
        <v>1276</v>
      </c>
      <c r="D59" s="290">
        <v>380200</v>
      </c>
      <c r="E59" s="297" t="s">
        <v>257</v>
      </c>
      <c r="F59" s="298" t="s">
        <v>880</v>
      </c>
      <c r="G59" s="292" t="s">
        <v>250</v>
      </c>
      <c r="H59" s="299" t="s">
        <v>252</v>
      </c>
      <c r="I59" s="65" t="s">
        <v>44</v>
      </c>
      <c r="J59" s="59">
        <v>2029</v>
      </c>
      <c r="K59" s="60">
        <v>35</v>
      </c>
      <c r="L59" s="60" t="s">
        <v>933</v>
      </c>
      <c r="M59" s="60" t="s">
        <v>934</v>
      </c>
      <c r="N59" s="61">
        <v>62807.55</v>
      </c>
      <c r="O59" s="62">
        <v>1932.54</v>
      </c>
      <c r="P59" s="59">
        <v>62534</v>
      </c>
      <c r="Q59" s="59">
        <f t="shared" si="0"/>
        <v>32.358450536599499</v>
      </c>
      <c r="R59" s="63">
        <v>2008</v>
      </c>
      <c r="S59" s="64">
        <v>0.08</v>
      </c>
      <c r="T59" s="300" t="s">
        <v>11</v>
      </c>
      <c r="U59" s="300" t="s">
        <v>11</v>
      </c>
      <c r="V59" s="295">
        <f>72539.44/1.16</f>
        <v>62534.000000000007</v>
      </c>
      <c r="W59" s="295">
        <f t="shared" si="1"/>
        <v>870473.28</v>
      </c>
      <c r="X59" s="295">
        <f t="shared" ref="X59:X61" si="14">ROUND(+V59*1.15*12*1.16,2)</f>
        <v>1001044.27</v>
      </c>
      <c r="Y59" s="296" t="s">
        <v>1566</v>
      </c>
      <c r="Z59" s="167"/>
    </row>
    <row r="60" spans="1:26" ht="93.75" x14ac:dyDescent="0.2">
      <c r="B60" s="290">
        <v>46</v>
      </c>
      <c r="C60" s="290" t="s">
        <v>1277</v>
      </c>
      <c r="D60" s="290">
        <v>150900</v>
      </c>
      <c r="E60" s="297" t="s">
        <v>257</v>
      </c>
      <c r="F60" s="298" t="s">
        <v>792</v>
      </c>
      <c r="G60" s="292" t="s">
        <v>251</v>
      </c>
      <c r="H60" s="299" t="s">
        <v>253</v>
      </c>
      <c r="I60" s="65" t="s">
        <v>45</v>
      </c>
      <c r="J60" s="59">
        <v>6000</v>
      </c>
      <c r="K60" s="60">
        <v>30</v>
      </c>
      <c r="L60" s="60" t="s">
        <v>935</v>
      </c>
      <c r="M60" s="60" t="s">
        <v>936</v>
      </c>
      <c r="N60" s="61">
        <v>18338.54</v>
      </c>
      <c r="O60" s="62">
        <v>1423.8</v>
      </c>
      <c r="P60" s="59">
        <v>42244</v>
      </c>
      <c r="Q60" s="59">
        <f t="shared" si="0"/>
        <v>29.669897457508078</v>
      </c>
      <c r="R60" s="63">
        <v>2013</v>
      </c>
      <c r="S60" s="64">
        <v>0.13</v>
      </c>
      <c r="T60" s="300" t="s">
        <v>11</v>
      </c>
      <c r="U60" s="300" t="s">
        <v>11</v>
      </c>
      <c r="V60" s="295">
        <v>42244</v>
      </c>
      <c r="W60" s="295">
        <f t="shared" si="1"/>
        <v>588036.48</v>
      </c>
      <c r="X60" s="295">
        <f t="shared" si="14"/>
        <v>676241.95</v>
      </c>
      <c r="Y60" s="296" t="s">
        <v>1566</v>
      </c>
      <c r="Z60" s="167"/>
    </row>
    <row r="61" spans="1:26" ht="56.25" x14ac:dyDescent="0.2">
      <c r="B61" s="290">
        <v>47</v>
      </c>
      <c r="C61" s="290" t="s">
        <v>1277</v>
      </c>
      <c r="D61" s="290">
        <v>150900</v>
      </c>
      <c r="E61" s="297" t="s">
        <v>257</v>
      </c>
      <c r="F61" s="298" t="s">
        <v>793</v>
      </c>
      <c r="G61" s="292" t="s">
        <v>635</v>
      </c>
      <c r="H61" s="299" t="s">
        <v>253</v>
      </c>
      <c r="I61" s="65" t="s">
        <v>46</v>
      </c>
      <c r="J61" s="59">
        <v>700</v>
      </c>
      <c r="K61" s="60">
        <v>30</v>
      </c>
      <c r="L61" s="60" t="s">
        <v>16</v>
      </c>
      <c r="M61" s="60" t="s">
        <v>936</v>
      </c>
      <c r="N61" s="61">
        <v>38533</v>
      </c>
      <c r="O61" s="62">
        <v>3107.5</v>
      </c>
      <c r="P61" s="59">
        <v>89568.75</v>
      </c>
      <c r="Q61" s="59">
        <f t="shared" si="0"/>
        <v>28.823411102172162</v>
      </c>
      <c r="R61" s="63">
        <v>2013</v>
      </c>
      <c r="S61" s="64">
        <v>0.1</v>
      </c>
      <c r="T61" s="300" t="s">
        <v>11</v>
      </c>
      <c r="U61" s="300" t="s">
        <v>11</v>
      </c>
      <c r="V61" s="295">
        <v>89568.75</v>
      </c>
      <c r="W61" s="295">
        <f t="shared" si="1"/>
        <v>1246797</v>
      </c>
      <c r="X61" s="295">
        <f t="shared" si="14"/>
        <v>1433816.55</v>
      </c>
      <c r="Y61" s="296" t="s">
        <v>1566</v>
      </c>
      <c r="Z61" s="167"/>
    </row>
    <row r="62" spans="1:26" ht="56.25" x14ac:dyDescent="0.2">
      <c r="B62" s="262">
        <v>48</v>
      </c>
      <c r="C62" s="262" t="s">
        <v>1278</v>
      </c>
      <c r="D62" s="262">
        <v>920201</v>
      </c>
      <c r="E62" s="269" t="s">
        <v>257</v>
      </c>
      <c r="F62" s="270" t="s">
        <v>794</v>
      </c>
      <c r="G62" s="279" t="s">
        <v>254</v>
      </c>
      <c r="H62" s="271" t="s">
        <v>1352</v>
      </c>
      <c r="I62" s="73" t="s">
        <v>47</v>
      </c>
      <c r="J62" s="59">
        <v>24248</v>
      </c>
      <c r="K62" s="60">
        <v>9</v>
      </c>
      <c r="L62" s="60" t="s">
        <v>16</v>
      </c>
      <c r="M62" s="60" t="s">
        <v>937</v>
      </c>
      <c r="N62" s="61">
        <v>29769</v>
      </c>
      <c r="O62" s="62">
        <v>1010.83</v>
      </c>
      <c r="P62" s="59">
        <v>24248</v>
      </c>
      <c r="Q62" s="59">
        <f t="shared" si="0"/>
        <v>23.988207710495335</v>
      </c>
      <c r="R62" s="63" t="s">
        <v>1334</v>
      </c>
      <c r="S62" s="64" t="s">
        <v>16</v>
      </c>
      <c r="T62" s="272" t="s">
        <v>13</v>
      </c>
      <c r="U62" s="272" t="s">
        <v>13</v>
      </c>
      <c r="V62" s="267">
        <v>24248</v>
      </c>
      <c r="W62" s="267">
        <f t="shared" si="1"/>
        <v>337532.15999999997</v>
      </c>
      <c r="X62" s="267">
        <f>ROUND(+V62*1.16*12*1.1,2)</f>
        <v>371285.38</v>
      </c>
      <c r="Y62" s="268" t="s">
        <v>1567</v>
      </c>
      <c r="Z62" s="167"/>
    </row>
    <row r="63" spans="1:26" s="3" customFormat="1" ht="75" x14ac:dyDescent="0.2">
      <c r="A63" s="40"/>
      <c r="B63" s="290">
        <v>49</v>
      </c>
      <c r="C63" s="290" t="s">
        <v>1279</v>
      </c>
      <c r="D63" s="290">
        <v>920110</v>
      </c>
      <c r="E63" s="297" t="s">
        <v>257</v>
      </c>
      <c r="F63" s="298" t="s">
        <v>795</v>
      </c>
      <c r="G63" s="304" t="s">
        <v>254</v>
      </c>
      <c r="H63" s="299" t="s">
        <v>255</v>
      </c>
      <c r="I63" s="73" t="s">
        <v>48</v>
      </c>
      <c r="J63" s="59">
        <v>23275</v>
      </c>
      <c r="K63" s="60">
        <v>21</v>
      </c>
      <c r="L63" s="60" t="s">
        <v>16</v>
      </c>
      <c r="M63" s="60" t="s">
        <v>938</v>
      </c>
      <c r="N63" s="61">
        <v>33160</v>
      </c>
      <c r="O63" s="62">
        <v>910.99</v>
      </c>
      <c r="P63" s="59">
        <v>26686</v>
      </c>
      <c r="Q63" s="59">
        <f t="shared" si="0"/>
        <v>29.293406074709932</v>
      </c>
      <c r="R63" s="63">
        <v>2008</v>
      </c>
      <c r="S63" s="64">
        <v>0.05</v>
      </c>
      <c r="T63" s="300" t="s">
        <v>11</v>
      </c>
      <c r="U63" s="300" t="s">
        <v>11</v>
      </c>
      <c r="V63" s="295">
        <v>26686</v>
      </c>
      <c r="W63" s="295">
        <f t="shared" si="1"/>
        <v>371469.12</v>
      </c>
      <c r="X63" s="295">
        <f t="shared" ref="X63:X65" si="15">ROUND(+V63*1.15*12*1.16,2)</f>
        <v>427189.49</v>
      </c>
      <c r="Y63" s="296" t="s">
        <v>1566</v>
      </c>
      <c r="Z63" s="167"/>
    </row>
    <row r="64" spans="1:26" s="3" customFormat="1" ht="75" x14ac:dyDescent="0.2">
      <c r="A64" s="40"/>
      <c r="B64" s="290">
        <v>50</v>
      </c>
      <c r="C64" s="290" t="s">
        <v>1273</v>
      </c>
      <c r="D64" s="290">
        <v>920110</v>
      </c>
      <c r="E64" s="297" t="s">
        <v>257</v>
      </c>
      <c r="F64" s="298" t="s">
        <v>796</v>
      </c>
      <c r="G64" s="304" t="s">
        <v>254</v>
      </c>
      <c r="H64" s="299" t="s">
        <v>256</v>
      </c>
      <c r="I64" s="73" t="s">
        <v>49</v>
      </c>
      <c r="J64" s="59">
        <v>2400</v>
      </c>
      <c r="K64" s="60">
        <v>29</v>
      </c>
      <c r="L64" s="60" t="s">
        <v>16</v>
      </c>
      <c r="M64" s="60" t="s">
        <v>939</v>
      </c>
      <c r="N64" s="61">
        <v>9144</v>
      </c>
      <c r="O64" s="62">
        <v>543</v>
      </c>
      <c r="P64" s="59">
        <v>6050</v>
      </c>
      <c r="Q64" s="59">
        <f t="shared" si="0"/>
        <v>11.141804788213628</v>
      </c>
      <c r="R64" s="63">
        <v>2010</v>
      </c>
      <c r="S64" s="64">
        <v>0.05</v>
      </c>
      <c r="T64" s="300" t="s">
        <v>11</v>
      </c>
      <c r="U64" s="300" t="s">
        <v>11</v>
      </c>
      <c r="V64" s="295">
        <v>6050</v>
      </c>
      <c r="W64" s="295">
        <f t="shared" si="1"/>
        <v>84215.999999999985</v>
      </c>
      <c r="X64" s="295">
        <f t="shared" si="15"/>
        <v>96848.4</v>
      </c>
      <c r="Y64" s="296" t="s">
        <v>1566</v>
      </c>
      <c r="Z64" s="167"/>
    </row>
    <row r="65" spans="1:27" s="3" customFormat="1" ht="56.25" x14ac:dyDescent="0.2">
      <c r="A65" s="40"/>
      <c r="B65" s="290">
        <v>51</v>
      </c>
      <c r="C65" s="290" t="s">
        <v>1277</v>
      </c>
      <c r="D65" s="290">
        <v>150900</v>
      </c>
      <c r="E65" s="297" t="s">
        <v>257</v>
      </c>
      <c r="F65" s="298" t="s">
        <v>797</v>
      </c>
      <c r="G65" s="292" t="s">
        <v>636</v>
      </c>
      <c r="H65" s="299" t="s">
        <v>253</v>
      </c>
      <c r="I65" s="73" t="s">
        <v>50</v>
      </c>
      <c r="J65" s="59">
        <v>26525</v>
      </c>
      <c r="K65" s="60">
        <v>8</v>
      </c>
      <c r="L65" s="60" t="s">
        <v>16</v>
      </c>
      <c r="M65" s="60" t="s">
        <v>16</v>
      </c>
      <c r="N65" s="61" t="s">
        <v>16</v>
      </c>
      <c r="O65" s="62">
        <v>1422.54</v>
      </c>
      <c r="P65" s="59">
        <v>26525.27</v>
      </c>
      <c r="Q65" s="59">
        <f t="shared" si="0"/>
        <v>18.646414160585994</v>
      </c>
      <c r="R65" s="63" t="s">
        <v>1334</v>
      </c>
      <c r="S65" s="64" t="s">
        <v>16</v>
      </c>
      <c r="T65" s="300" t="s">
        <v>11</v>
      </c>
      <c r="U65" s="300" t="s">
        <v>11</v>
      </c>
      <c r="V65" s="295">
        <v>26525.27</v>
      </c>
      <c r="W65" s="295">
        <f t="shared" si="1"/>
        <v>369231.75839999993</v>
      </c>
      <c r="X65" s="295">
        <f t="shared" si="15"/>
        <v>424616.52</v>
      </c>
      <c r="Y65" s="296" t="s">
        <v>1566</v>
      </c>
      <c r="Z65" s="167">
        <f>SUM(X50:X65)</f>
        <v>7261609.4700000007</v>
      </c>
    </row>
    <row r="66" spans="1:27" ht="93.75" x14ac:dyDescent="0.2">
      <c r="B66" s="218">
        <v>52</v>
      </c>
      <c r="C66" s="218" t="s">
        <v>1280</v>
      </c>
      <c r="D66" s="218" t="s">
        <v>1281</v>
      </c>
      <c r="E66" s="227" t="s">
        <v>542</v>
      </c>
      <c r="F66" s="233" t="s">
        <v>886</v>
      </c>
      <c r="G66" s="234" t="s">
        <v>622</v>
      </c>
      <c r="H66" s="228" t="s">
        <v>543</v>
      </c>
      <c r="I66" s="222" t="s">
        <v>51</v>
      </c>
      <c r="J66" s="222">
        <v>1196672.6399999999</v>
      </c>
      <c r="K66" s="223">
        <v>8</v>
      </c>
      <c r="L66" s="223" t="s">
        <v>1065</v>
      </c>
      <c r="M66" s="223" t="s">
        <v>956</v>
      </c>
      <c r="N66" s="224">
        <v>1334693</v>
      </c>
      <c r="O66" s="218">
        <v>6722.88</v>
      </c>
      <c r="P66" s="218">
        <v>1124004.53</v>
      </c>
      <c r="Q66" s="218">
        <f t="shared" si="0"/>
        <v>167.19092561521254</v>
      </c>
      <c r="R66" s="227">
        <v>2014</v>
      </c>
      <c r="S66" s="233">
        <v>3.8000001846967724E-2</v>
      </c>
      <c r="T66" s="234" t="s">
        <v>13</v>
      </c>
      <c r="U66" s="222" t="s">
        <v>1554</v>
      </c>
      <c r="V66" s="224">
        <v>1292605.21</v>
      </c>
      <c r="W66" s="224">
        <f t="shared" si="1"/>
        <v>17993064.523199998</v>
      </c>
      <c r="X66" s="223">
        <f>+W66</f>
        <v>17993064.523199998</v>
      </c>
      <c r="Y66" s="223"/>
      <c r="Z66" s="348"/>
      <c r="AA66" s="351"/>
    </row>
    <row r="67" spans="1:27" s="34" customFormat="1" ht="164.25" customHeight="1" x14ac:dyDescent="0.2">
      <c r="A67" s="41"/>
      <c r="B67" s="218">
        <v>53</v>
      </c>
      <c r="C67" s="218" t="s">
        <v>1280</v>
      </c>
      <c r="D67" s="218" t="s">
        <v>1281</v>
      </c>
      <c r="E67" s="227" t="s">
        <v>542</v>
      </c>
      <c r="F67" s="233" t="s">
        <v>887</v>
      </c>
      <c r="G67" s="234" t="s">
        <v>622</v>
      </c>
      <c r="H67" s="228" t="s">
        <v>564</v>
      </c>
      <c r="I67" s="65" t="s">
        <v>565</v>
      </c>
      <c r="J67" s="76">
        <v>787080</v>
      </c>
      <c r="K67" s="60">
        <v>3</v>
      </c>
      <c r="L67" s="60" t="s">
        <v>1066</v>
      </c>
      <c r="M67" s="60" t="s">
        <v>1067</v>
      </c>
      <c r="N67" s="61">
        <v>1328300</v>
      </c>
      <c r="O67" s="77">
        <v>2398.34</v>
      </c>
      <c r="P67" s="78">
        <v>1207545.46</v>
      </c>
      <c r="Q67" s="59">
        <v>280</v>
      </c>
      <c r="R67" s="63">
        <v>2018</v>
      </c>
      <c r="S67" s="64" t="s">
        <v>617</v>
      </c>
      <c r="T67" s="222" t="s">
        <v>1554</v>
      </c>
      <c r="U67" s="222" t="s">
        <v>1554</v>
      </c>
      <c r="V67" s="223">
        <v>1207545.46</v>
      </c>
      <c r="W67" s="223">
        <f t="shared" si="1"/>
        <v>16809032.803199999</v>
      </c>
      <c r="X67" s="223">
        <f>ROUND(+W67,2)</f>
        <v>16809032.800000001</v>
      </c>
      <c r="Y67" s="224"/>
      <c r="Z67" s="349"/>
      <c r="AA67" s="350"/>
    </row>
    <row r="68" spans="1:27" s="34" customFormat="1" ht="75" x14ac:dyDescent="0.2">
      <c r="A68" s="41"/>
      <c r="B68" s="262">
        <v>54</v>
      </c>
      <c r="C68" s="262" t="s">
        <v>1280</v>
      </c>
      <c r="D68" s="262" t="s">
        <v>1281</v>
      </c>
      <c r="E68" s="269" t="s">
        <v>542</v>
      </c>
      <c r="F68" s="281" t="s">
        <v>888</v>
      </c>
      <c r="G68" s="280" t="s">
        <v>622</v>
      </c>
      <c r="H68" s="271" t="s">
        <v>544</v>
      </c>
      <c r="I68" s="65" t="s">
        <v>209</v>
      </c>
      <c r="J68" s="59">
        <v>421615.7</v>
      </c>
      <c r="K68" s="60">
        <v>5</v>
      </c>
      <c r="L68" s="60" t="s">
        <v>1068</v>
      </c>
      <c r="M68" s="60" t="s">
        <v>1069</v>
      </c>
      <c r="N68" s="61">
        <v>443806</v>
      </c>
      <c r="O68" s="62">
        <v>2347.31</v>
      </c>
      <c r="P68" s="59">
        <v>421615.7</v>
      </c>
      <c r="Q68" s="59">
        <f t="shared" ref="Q68:Q131" si="16">+P68/O68</f>
        <v>179.61653978383768</v>
      </c>
      <c r="R68" s="63" t="s">
        <v>1334</v>
      </c>
      <c r="S68" s="64" t="s">
        <v>16</v>
      </c>
      <c r="T68" s="272" t="s">
        <v>13</v>
      </c>
      <c r="U68" s="272" t="s">
        <v>13</v>
      </c>
      <c r="V68" s="267">
        <v>463777.27</v>
      </c>
      <c r="W68" s="267">
        <f t="shared" si="1"/>
        <v>6455779.5984000005</v>
      </c>
      <c r="X68" s="267">
        <f t="shared" ref="X68" si="17">ROUND(+V68*1.16*12*1.1,2)</f>
        <v>7101357.5599999996</v>
      </c>
      <c r="Y68" s="268" t="s">
        <v>1567</v>
      </c>
      <c r="Z68" s="349"/>
      <c r="AA68" s="350"/>
    </row>
    <row r="69" spans="1:27" s="34" customFormat="1" ht="75" x14ac:dyDescent="0.2">
      <c r="A69" s="41"/>
      <c r="B69" s="218">
        <v>55</v>
      </c>
      <c r="C69" s="218" t="s">
        <v>1280</v>
      </c>
      <c r="D69" s="218" t="s">
        <v>1281</v>
      </c>
      <c r="E69" s="227" t="s">
        <v>542</v>
      </c>
      <c r="F69" s="233" t="s">
        <v>889</v>
      </c>
      <c r="G69" s="234" t="s">
        <v>622</v>
      </c>
      <c r="H69" s="228" t="s">
        <v>545</v>
      </c>
      <c r="I69" s="234" t="s">
        <v>53</v>
      </c>
      <c r="J69" s="228">
        <v>1060000</v>
      </c>
      <c r="K69" s="222">
        <v>6</v>
      </c>
      <c r="L69" s="222" t="s">
        <v>1070</v>
      </c>
      <c r="M69" s="223" t="s">
        <v>1071</v>
      </c>
      <c r="N69" s="223">
        <v>1060529</v>
      </c>
      <c r="O69" s="218">
        <v>3940.44</v>
      </c>
      <c r="P69" s="218">
        <v>1060000</v>
      </c>
      <c r="Q69" s="218">
        <f t="shared" si="16"/>
        <v>269.00549177249241</v>
      </c>
      <c r="R69" s="227" t="s">
        <v>1334</v>
      </c>
      <c r="S69" s="233" t="s">
        <v>16</v>
      </c>
      <c r="T69" s="234" t="s">
        <v>1554</v>
      </c>
      <c r="U69" s="222" t="s">
        <v>1554</v>
      </c>
      <c r="V69" s="346">
        <v>1219000</v>
      </c>
      <c r="W69" s="347">
        <f t="shared" si="1"/>
        <v>16968480</v>
      </c>
      <c r="X69" s="224">
        <f>+W69</f>
        <v>16968480</v>
      </c>
      <c r="Y69" s="222"/>
      <c r="Z69" s="348"/>
      <c r="AA69" s="352"/>
    </row>
    <row r="70" spans="1:27" s="34" customFormat="1" ht="75" x14ac:dyDescent="0.2">
      <c r="A70" s="41"/>
      <c r="B70" s="218">
        <v>56</v>
      </c>
      <c r="C70" s="218" t="s">
        <v>1280</v>
      </c>
      <c r="D70" s="218" t="s">
        <v>1281</v>
      </c>
      <c r="E70" s="227" t="s">
        <v>542</v>
      </c>
      <c r="F70" s="235" t="s">
        <v>1342</v>
      </c>
      <c r="G70" s="234" t="s">
        <v>622</v>
      </c>
      <c r="H70" s="236" t="s">
        <v>563</v>
      </c>
      <c r="I70" s="65" t="s">
        <v>565</v>
      </c>
      <c r="J70" s="79">
        <v>980000</v>
      </c>
      <c r="K70" s="60">
        <v>2</v>
      </c>
      <c r="L70" s="60" t="s">
        <v>1072</v>
      </c>
      <c r="M70" s="60" t="s">
        <v>1073</v>
      </c>
      <c r="N70" s="61">
        <v>1235000</v>
      </c>
      <c r="O70" s="80">
        <v>3351.34</v>
      </c>
      <c r="P70" s="59">
        <v>1235000</v>
      </c>
      <c r="Q70" s="59">
        <f t="shared" si="16"/>
        <v>368.5093126928333</v>
      </c>
      <c r="R70" s="81" t="s">
        <v>1545</v>
      </c>
      <c r="S70" s="64"/>
      <c r="T70" s="222" t="s">
        <v>1554</v>
      </c>
      <c r="U70" s="222" t="s">
        <v>1554</v>
      </c>
      <c r="V70" s="223">
        <v>1110315.0900000001</v>
      </c>
      <c r="W70" s="223">
        <f t="shared" si="1"/>
        <v>15455586.0528</v>
      </c>
      <c r="X70" s="223">
        <f>+W70</f>
        <v>15455586.0528</v>
      </c>
      <c r="Y70" s="224"/>
      <c r="Z70" s="167">
        <f>SUM(X66:X70)</f>
        <v>74327520.936000004</v>
      </c>
      <c r="AA70" s="19"/>
    </row>
    <row r="71" spans="1:27" s="34" customFormat="1" ht="56.25" x14ac:dyDescent="0.2">
      <c r="A71" s="41"/>
      <c r="B71" s="262">
        <v>57</v>
      </c>
      <c r="C71" s="262">
        <v>102416</v>
      </c>
      <c r="D71" s="262">
        <v>200200</v>
      </c>
      <c r="E71" s="269" t="s">
        <v>273</v>
      </c>
      <c r="F71" s="270" t="s">
        <v>798</v>
      </c>
      <c r="G71" s="264" t="s">
        <v>274</v>
      </c>
      <c r="H71" s="271" t="s">
        <v>280</v>
      </c>
      <c r="I71" s="82" t="s">
        <v>1385</v>
      </c>
      <c r="J71" s="59">
        <v>830</v>
      </c>
      <c r="K71" s="74">
        <v>25</v>
      </c>
      <c r="L71" s="74" t="s">
        <v>953</v>
      </c>
      <c r="M71" s="74" t="s">
        <v>954</v>
      </c>
      <c r="N71" s="83">
        <v>4791</v>
      </c>
      <c r="O71" s="62">
        <v>180.52</v>
      </c>
      <c r="P71" s="59">
        <v>4000</v>
      </c>
      <c r="Q71" s="59">
        <f t="shared" si="16"/>
        <v>22.158209616662973</v>
      </c>
      <c r="R71" s="63">
        <v>2018</v>
      </c>
      <c r="S71" s="84">
        <v>0.87170000000000003</v>
      </c>
      <c r="T71" s="266" t="s">
        <v>1554</v>
      </c>
      <c r="U71" s="272" t="s">
        <v>13</v>
      </c>
      <c r="V71" s="267">
        <v>4000</v>
      </c>
      <c r="W71" s="267">
        <f t="shared" si="1"/>
        <v>55680</v>
      </c>
      <c r="X71" s="267">
        <f t="shared" ref="X71:X72" si="18">ROUND(+V71*1.16*12*1.1,2)</f>
        <v>61248</v>
      </c>
      <c r="Y71" s="268" t="s">
        <v>1567</v>
      </c>
      <c r="Z71" s="167"/>
      <c r="AA71" s="19"/>
    </row>
    <row r="72" spans="1:27" s="34" customFormat="1" ht="56.25" x14ac:dyDescent="0.2">
      <c r="A72" s="41"/>
      <c r="B72" s="262">
        <v>58</v>
      </c>
      <c r="C72" s="262">
        <v>102406</v>
      </c>
      <c r="D72" s="262">
        <v>200200</v>
      </c>
      <c r="E72" s="269" t="s">
        <v>273</v>
      </c>
      <c r="F72" s="270" t="s">
        <v>799</v>
      </c>
      <c r="G72" s="264" t="s">
        <v>275</v>
      </c>
      <c r="H72" s="271" t="s">
        <v>1521</v>
      </c>
      <c r="I72" s="82" t="s">
        <v>54</v>
      </c>
      <c r="J72" s="59">
        <v>3000</v>
      </c>
      <c r="K72" s="74">
        <v>27</v>
      </c>
      <c r="L72" s="74" t="s">
        <v>955</v>
      </c>
      <c r="M72" s="74" t="s">
        <v>956</v>
      </c>
      <c r="N72" s="83">
        <v>5346</v>
      </c>
      <c r="O72" s="62">
        <v>157.41</v>
      </c>
      <c r="P72" s="59">
        <v>4500</v>
      </c>
      <c r="Q72" s="59">
        <f t="shared" si="16"/>
        <v>28.58776443682104</v>
      </c>
      <c r="R72" s="63">
        <v>2018</v>
      </c>
      <c r="S72" s="85">
        <v>0.38</v>
      </c>
      <c r="T72" s="272" t="s">
        <v>13</v>
      </c>
      <c r="U72" s="272" t="s">
        <v>13</v>
      </c>
      <c r="V72" s="267">
        <v>4500</v>
      </c>
      <c r="W72" s="267">
        <f t="shared" si="1"/>
        <v>62640</v>
      </c>
      <c r="X72" s="267">
        <f t="shared" si="18"/>
        <v>68904</v>
      </c>
      <c r="Y72" s="268" t="s">
        <v>1567</v>
      </c>
      <c r="Z72" s="167"/>
      <c r="AA72" s="19"/>
    </row>
    <row r="73" spans="1:27" s="34" customFormat="1" ht="56.25" x14ac:dyDescent="0.2">
      <c r="A73" s="41"/>
      <c r="B73" s="218">
        <v>59</v>
      </c>
      <c r="C73" s="218">
        <v>102418</v>
      </c>
      <c r="D73" s="218">
        <v>200200</v>
      </c>
      <c r="E73" s="227" t="s">
        <v>273</v>
      </c>
      <c r="F73" s="226" t="s">
        <v>800</v>
      </c>
      <c r="G73" s="220" t="s">
        <v>276</v>
      </c>
      <c r="H73" s="228" t="s">
        <v>281</v>
      </c>
      <c r="I73" s="86" t="s">
        <v>55</v>
      </c>
      <c r="J73" s="59">
        <v>2000</v>
      </c>
      <c r="K73" s="74">
        <v>11</v>
      </c>
      <c r="L73" s="74" t="s">
        <v>957</v>
      </c>
      <c r="M73" s="74" t="s">
        <v>956</v>
      </c>
      <c r="N73" s="83">
        <v>7637</v>
      </c>
      <c r="O73" s="62">
        <v>238.65</v>
      </c>
      <c r="P73" s="59">
        <v>5000</v>
      </c>
      <c r="Q73" s="59">
        <f t="shared" si="16"/>
        <v>20.951183741881415</v>
      </c>
      <c r="R73" s="63">
        <v>2018</v>
      </c>
      <c r="S73" s="85">
        <v>2.5</v>
      </c>
      <c r="T73" s="222" t="s">
        <v>1554</v>
      </c>
      <c r="U73" s="222" t="s">
        <v>1554</v>
      </c>
      <c r="V73" s="223">
        <v>5000</v>
      </c>
      <c r="W73" s="223">
        <f t="shared" si="1"/>
        <v>69600</v>
      </c>
      <c r="X73" s="223">
        <f>ROUND(+W73,2)</f>
        <v>69600</v>
      </c>
      <c r="Y73" s="224"/>
      <c r="Z73" s="167"/>
      <c r="AA73" s="19"/>
    </row>
    <row r="74" spans="1:27" s="34" customFormat="1" ht="75" x14ac:dyDescent="0.2">
      <c r="A74" s="41"/>
      <c r="B74" s="262">
        <v>60</v>
      </c>
      <c r="C74" s="262">
        <v>102403</v>
      </c>
      <c r="D74" s="262">
        <v>200200</v>
      </c>
      <c r="E74" s="269" t="s">
        <v>273</v>
      </c>
      <c r="F74" s="270" t="s">
        <v>801</v>
      </c>
      <c r="G74" s="264" t="s">
        <v>277</v>
      </c>
      <c r="H74" s="271" t="s">
        <v>282</v>
      </c>
      <c r="I74" s="87" t="s">
        <v>56</v>
      </c>
      <c r="J74" s="59">
        <v>103448.28</v>
      </c>
      <c r="K74" s="74">
        <v>9</v>
      </c>
      <c r="L74" s="74" t="s">
        <v>1438</v>
      </c>
      <c r="M74" s="74" t="s">
        <v>1439</v>
      </c>
      <c r="N74" s="83">
        <v>120778</v>
      </c>
      <c r="O74" s="62">
        <v>2083.8200000000002</v>
      </c>
      <c r="P74" s="59">
        <v>103448.28</v>
      </c>
      <c r="Q74" s="59">
        <f t="shared" si="16"/>
        <v>49.643577660258558</v>
      </c>
      <c r="R74" s="63" t="s">
        <v>1334</v>
      </c>
      <c r="S74" s="74" t="s">
        <v>16</v>
      </c>
      <c r="T74" s="272" t="s">
        <v>13</v>
      </c>
      <c r="U74" s="272" t="s">
        <v>13</v>
      </c>
      <c r="V74" s="267">
        <v>103448.28</v>
      </c>
      <c r="W74" s="267">
        <f t="shared" si="1"/>
        <v>1440000.0575999999</v>
      </c>
      <c r="X74" s="267">
        <f t="shared" ref="X74:X75" si="19">ROUND(+V74*1.16*12*1.1,2)</f>
        <v>1584000.06</v>
      </c>
      <c r="Y74" s="268" t="s">
        <v>1567</v>
      </c>
      <c r="Z74" s="167"/>
      <c r="AA74" s="19"/>
    </row>
    <row r="75" spans="1:27" s="34" customFormat="1" ht="75" x14ac:dyDescent="0.2">
      <c r="A75" s="41"/>
      <c r="B75" s="262">
        <v>61</v>
      </c>
      <c r="C75" s="262">
        <v>102401</v>
      </c>
      <c r="D75" s="262">
        <v>200200</v>
      </c>
      <c r="E75" s="269" t="s">
        <v>273</v>
      </c>
      <c r="F75" s="270" t="s">
        <v>802</v>
      </c>
      <c r="G75" s="264" t="s">
        <v>278</v>
      </c>
      <c r="H75" s="271" t="s">
        <v>1523</v>
      </c>
      <c r="I75" s="82" t="s">
        <v>57</v>
      </c>
      <c r="J75" s="59">
        <v>34121</v>
      </c>
      <c r="K75" s="88">
        <v>29</v>
      </c>
      <c r="L75" s="88" t="s">
        <v>958</v>
      </c>
      <c r="M75" s="88" t="s">
        <v>959</v>
      </c>
      <c r="N75" s="89">
        <v>70817</v>
      </c>
      <c r="O75" s="62">
        <v>1188.8</v>
      </c>
      <c r="P75" s="59">
        <v>63397.86</v>
      </c>
      <c r="Q75" s="59">
        <f t="shared" si="16"/>
        <v>53.329290040376854</v>
      </c>
      <c r="R75" s="63">
        <v>2018</v>
      </c>
      <c r="S75" s="90" t="s">
        <v>592</v>
      </c>
      <c r="T75" s="272" t="s">
        <v>13</v>
      </c>
      <c r="U75" s="272" t="s">
        <v>13</v>
      </c>
      <c r="V75" s="267">
        <v>63397.86</v>
      </c>
      <c r="W75" s="267">
        <f t="shared" si="1"/>
        <v>882498.2111999999</v>
      </c>
      <c r="X75" s="267">
        <f t="shared" si="19"/>
        <v>970748.03</v>
      </c>
      <c r="Y75" s="268" t="s">
        <v>1567</v>
      </c>
      <c r="Z75" s="167"/>
      <c r="AA75" s="19"/>
    </row>
    <row r="76" spans="1:27" s="34" customFormat="1" ht="75" x14ac:dyDescent="0.2">
      <c r="A76" s="41"/>
      <c r="B76" s="218">
        <v>62</v>
      </c>
      <c r="C76" s="218">
        <v>102419</v>
      </c>
      <c r="D76" s="218">
        <v>200200</v>
      </c>
      <c r="E76" s="227" t="s">
        <v>273</v>
      </c>
      <c r="F76" s="226" t="s">
        <v>803</v>
      </c>
      <c r="G76" s="220" t="s">
        <v>279</v>
      </c>
      <c r="H76" s="228" t="s">
        <v>283</v>
      </c>
      <c r="I76" s="82" t="s">
        <v>58</v>
      </c>
      <c r="J76" s="59">
        <v>1000</v>
      </c>
      <c r="K76" s="88">
        <v>19</v>
      </c>
      <c r="L76" s="88">
        <v>7025</v>
      </c>
      <c r="M76" s="88" t="s">
        <v>960</v>
      </c>
      <c r="N76" s="89">
        <v>5884.53</v>
      </c>
      <c r="O76" s="62">
        <v>134.35</v>
      </c>
      <c r="P76" s="59">
        <v>3000</v>
      </c>
      <c r="Q76" s="59">
        <f t="shared" si="16"/>
        <v>22.329735764793451</v>
      </c>
      <c r="R76" s="63">
        <v>2018</v>
      </c>
      <c r="S76" s="90">
        <v>0.5</v>
      </c>
      <c r="T76" s="222" t="s">
        <v>1554</v>
      </c>
      <c r="U76" s="222" t="s">
        <v>1554</v>
      </c>
      <c r="V76" s="223">
        <v>3000</v>
      </c>
      <c r="W76" s="223">
        <f t="shared" si="1"/>
        <v>41759.999999999993</v>
      </c>
      <c r="X76" s="223">
        <f t="shared" ref="X76:X82" si="20">ROUND(+W76,2)</f>
        <v>41760</v>
      </c>
      <c r="Y76" s="224"/>
      <c r="Z76" s="167"/>
      <c r="AA76" s="19"/>
    </row>
    <row r="77" spans="1:27" s="34" customFormat="1" ht="56.25" x14ac:dyDescent="0.2">
      <c r="A77" s="41"/>
      <c r="B77" s="218">
        <v>63</v>
      </c>
      <c r="C77" s="218">
        <v>100401</v>
      </c>
      <c r="D77" s="218">
        <v>200201</v>
      </c>
      <c r="E77" s="227" t="s">
        <v>273</v>
      </c>
      <c r="F77" s="219" t="s">
        <v>569</v>
      </c>
      <c r="G77" s="237" t="s">
        <v>570</v>
      </c>
      <c r="H77" s="228" t="s">
        <v>284</v>
      </c>
      <c r="I77" s="82" t="s">
        <v>59</v>
      </c>
      <c r="J77" s="59">
        <v>50</v>
      </c>
      <c r="K77" s="88">
        <v>32</v>
      </c>
      <c r="L77" s="88" t="s">
        <v>961</v>
      </c>
      <c r="M77" s="88" t="s">
        <v>962</v>
      </c>
      <c r="N77" s="89">
        <v>327.67</v>
      </c>
      <c r="O77" s="62">
        <v>93.62</v>
      </c>
      <c r="P77" s="59">
        <v>500</v>
      </c>
      <c r="Q77" s="59">
        <f t="shared" si="16"/>
        <v>5.3407391582995087</v>
      </c>
      <c r="R77" s="63">
        <v>2009</v>
      </c>
      <c r="S77" s="90">
        <v>1.38</v>
      </c>
      <c r="T77" s="222" t="s">
        <v>1554</v>
      </c>
      <c r="U77" s="222" t="s">
        <v>1554</v>
      </c>
      <c r="V77" s="223">
        <v>500</v>
      </c>
      <c r="W77" s="223">
        <f t="shared" si="1"/>
        <v>6960</v>
      </c>
      <c r="X77" s="223">
        <f t="shared" si="20"/>
        <v>6960</v>
      </c>
      <c r="Y77" s="224"/>
      <c r="Z77" s="167"/>
      <c r="AA77" s="19"/>
    </row>
    <row r="78" spans="1:27" s="34" customFormat="1" ht="75" x14ac:dyDescent="0.2">
      <c r="A78" s="41"/>
      <c r="B78" s="218">
        <v>64</v>
      </c>
      <c r="C78" s="218">
        <v>105902</v>
      </c>
      <c r="D78" s="218">
        <v>380200</v>
      </c>
      <c r="E78" s="227" t="s">
        <v>273</v>
      </c>
      <c r="F78" s="238" t="s">
        <v>804</v>
      </c>
      <c r="G78" s="220" t="s">
        <v>285</v>
      </c>
      <c r="H78" s="239" t="s">
        <v>1416</v>
      </c>
      <c r="I78" s="82" t="s">
        <v>60</v>
      </c>
      <c r="J78" s="59">
        <v>23638</v>
      </c>
      <c r="K78" s="88">
        <v>10</v>
      </c>
      <c r="L78" s="88" t="s">
        <v>963</v>
      </c>
      <c r="M78" s="88" t="s">
        <v>964</v>
      </c>
      <c r="N78" s="89">
        <v>23638</v>
      </c>
      <c r="O78" s="62">
        <v>759.58</v>
      </c>
      <c r="P78" s="59">
        <v>23638</v>
      </c>
      <c r="Q78" s="59">
        <f t="shared" si="16"/>
        <v>31.119829379393874</v>
      </c>
      <c r="R78" s="63" t="s">
        <v>1334</v>
      </c>
      <c r="S78" s="88" t="s">
        <v>16</v>
      </c>
      <c r="T78" s="222" t="s">
        <v>1554</v>
      </c>
      <c r="U78" s="222" t="s">
        <v>1554</v>
      </c>
      <c r="V78" s="223">
        <v>23638</v>
      </c>
      <c r="W78" s="223">
        <f t="shared" si="1"/>
        <v>329040.95999999996</v>
      </c>
      <c r="X78" s="223">
        <f t="shared" si="20"/>
        <v>329040.96000000002</v>
      </c>
      <c r="Y78" s="224"/>
      <c r="Z78" s="167"/>
      <c r="AA78" s="19"/>
    </row>
    <row r="79" spans="1:27" s="34" customFormat="1" ht="93.75" x14ac:dyDescent="0.2">
      <c r="A79" s="41"/>
      <c r="B79" s="218">
        <v>65</v>
      </c>
      <c r="C79" s="218">
        <v>109001</v>
      </c>
      <c r="D79" s="218" t="s">
        <v>1282</v>
      </c>
      <c r="E79" s="227" t="s">
        <v>273</v>
      </c>
      <c r="F79" s="226" t="s">
        <v>805</v>
      </c>
      <c r="G79" s="220" t="s">
        <v>623</v>
      </c>
      <c r="H79" s="228" t="s">
        <v>286</v>
      </c>
      <c r="I79" s="82" t="s">
        <v>61</v>
      </c>
      <c r="J79" s="59">
        <v>55000</v>
      </c>
      <c r="K79" s="88">
        <v>27</v>
      </c>
      <c r="L79" s="88" t="s">
        <v>965</v>
      </c>
      <c r="M79" s="88" t="s">
        <v>966</v>
      </c>
      <c r="N79" s="89">
        <v>147994</v>
      </c>
      <c r="O79" s="62">
        <v>1950.88</v>
      </c>
      <c r="P79" s="59">
        <v>125475.65</v>
      </c>
      <c r="Q79" s="59">
        <f t="shared" si="16"/>
        <v>64.317461863364215</v>
      </c>
      <c r="R79" s="63">
        <v>2018</v>
      </c>
      <c r="S79" s="90" t="s">
        <v>592</v>
      </c>
      <c r="T79" s="222" t="s">
        <v>1554</v>
      </c>
      <c r="U79" s="222" t="s">
        <v>1554</v>
      </c>
      <c r="V79" s="223">
        <v>125475.65</v>
      </c>
      <c r="W79" s="223">
        <f t="shared" ref="W79:W142" si="21">+V79*1.16*12</f>
        <v>1746621.048</v>
      </c>
      <c r="X79" s="223">
        <f t="shared" si="20"/>
        <v>1746621.05</v>
      </c>
      <c r="Y79" s="224"/>
      <c r="Z79" s="167"/>
      <c r="AA79" s="19"/>
    </row>
    <row r="80" spans="1:27" s="34" customFormat="1" ht="56.25" x14ac:dyDescent="0.2">
      <c r="A80" s="41"/>
      <c r="B80" s="218">
        <v>66</v>
      </c>
      <c r="C80" s="218">
        <v>102410</v>
      </c>
      <c r="D80" s="218">
        <v>200201</v>
      </c>
      <c r="E80" s="227" t="s">
        <v>273</v>
      </c>
      <c r="F80" s="219" t="s">
        <v>806</v>
      </c>
      <c r="G80" s="220" t="s">
        <v>287</v>
      </c>
      <c r="H80" s="228" t="s">
        <v>288</v>
      </c>
      <c r="I80" s="82" t="s">
        <v>213</v>
      </c>
      <c r="J80" s="59">
        <v>7000</v>
      </c>
      <c r="K80" s="88">
        <v>5</v>
      </c>
      <c r="L80" s="88">
        <v>8709</v>
      </c>
      <c r="M80" s="91">
        <v>44015</v>
      </c>
      <c r="N80" s="89">
        <v>11842</v>
      </c>
      <c r="O80" s="62">
        <v>213.71</v>
      </c>
      <c r="P80" s="59">
        <v>9800</v>
      </c>
      <c r="Q80" s="59">
        <f t="shared" si="16"/>
        <v>45.856534556174253</v>
      </c>
      <c r="R80" s="63">
        <v>2020</v>
      </c>
      <c r="S80" s="90">
        <v>0.4</v>
      </c>
      <c r="T80" s="222" t="s">
        <v>1554</v>
      </c>
      <c r="U80" s="222" t="s">
        <v>1554</v>
      </c>
      <c r="V80" s="223">
        <v>9800</v>
      </c>
      <c r="W80" s="223">
        <f t="shared" si="21"/>
        <v>136416</v>
      </c>
      <c r="X80" s="223">
        <f t="shared" si="20"/>
        <v>136416</v>
      </c>
      <c r="Y80" s="224"/>
      <c r="Z80" s="167"/>
      <c r="AA80" s="19"/>
    </row>
    <row r="81" spans="1:27" s="34" customFormat="1" ht="93.75" x14ac:dyDescent="0.2">
      <c r="A81" s="41"/>
      <c r="B81" s="218">
        <v>67</v>
      </c>
      <c r="C81" s="218">
        <v>109102</v>
      </c>
      <c r="D81" s="218">
        <v>900110</v>
      </c>
      <c r="E81" s="227" t="s">
        <v>273</v>
      </c>
      <c r="F81" s="219" t="s">
        <v>807</v>
      </c>
      <c r="G81" s="220" t="s">
        <v>227</v>
      </c>
      <c r="H81" s="228" t="s">
        <v>289</v>
      </c>
      <c r="I81" s="82" t="s">
        <v>62</v>
      </c>
      <c r="J81" s="59">
        <v>400</v>
      </c>
      <c r="K81" s="88">
        <v>35</v>
      </c>
      <c r="L81" s="88">
        <v>5478</v>
      </c>
      <c r="M81" s="88" t="s">
        <v>967</v>
      </c>
      <c r="N81" s="89">
        <v>158984</v>
      </c>
      <c r="O81" s="62">
        <v>1882.8</v>
      </c>
      <c r="P81" s="59">
        <v>55000</v>
      </c>
      <c r="Q81" s="59">
        <f t="shared" si="16"/>
        <v>29.211812194603784</v>
      </c>
      <c r="R81" s="63">
        <v>2011</v>
      </c>
      <c r="S81" s="90">
        <v>0.25</v>
      </c>
      <c r="T81" s="222" t="s">
        <v>1554</v>
      </c>
      <c r="U81" s="222" t="s">
        <v>1554</v>
      </c>
      <c r="V81" s="223">
        <v>55000</v>
      </c>
      <c r="W81" s="223">
        <f t="shared" si="21"/>
        <v>765599.99999999988</v>
      </c>
      <c r="X81" s="223">
        <f t="shared" si="20"/>
        <v>765600</v>
      </c>
      <c r="Y81" s="224"/>
      <c r="Z81" s="167"/>
      <c r="AA81" s="19"/>
    </row>
    <row r="82" spans="1:27" s="34" customFormat="1" ht="75" x14ac:dyDescent="0.2">
      <c r="A82" s="41"/>
      <c r="B82" s="218">
        <v>68</v>
      </c>
      <c r="C82" s="218">
        <v>109101</v>
      </c>
      <c r="D82" s="218">
        <v>900110</v>
      </c>
      <c r="E82" s="227" t="s">
        <v>273</v>
      </c>
      <c r="F82" s="219" t="s">
        <v>1506</v>
      </c>
      <c r="G82" s="220" t="s">
        <v>1540</v>
      </c>
      <c r="H82" s="228" t="s">
        <v>1541</v>
      </c>
      <c r="I82" s="82" t="s">
        <v>1507</v>
      </c>
      <c r="J82" s="59">
        <v>215517.24</v>
      </c>
      <c r="K82" s="88" t="s">
        <v>16</v>
      </c>
      <c r="L82" s="88" t="s">
        <v>1508</v>
      </c>
      <c r="M82" s="88" t="s">
        <v>1509</v>
      </c>
      <c r="N82" s="89">
        <v>243200</v>
      </c>
      <c r="O82" s="62">
        <v>2000</v>
      </c>
      <c r="P82" s="59">
        <v>215517.24</v>
      </c>
      <c r="Q82" s="59">
        <f t="shared" si="16"/>
        <v>107.75861999999999</v>
      </c>
      <c r="R82" s="63" t="s">
        <v>16</v>
      </c>
      <c r="S82" s="90" t="s">
        <v>16</v>
      </c>
      <c r="T82" s="222" t="s">
        <v>1554</v>
      </c>
      <c r="U82" s="222" t="s">
        <v>1554</v>
      </c>
      <c r="V82" s="223">
        <v>215517.24</v>
      </c>
      <c r="W82" s="223">
        <f t="shared" si="21"/>
        <v>2999999.9808</v>
      </c>
      <c r="X82" s="223">
        <f t="shared" si="20"/>
        <v>2999999.98</v>
      </c>
      <c r="Y82" s="240"/>
      <c r="Z82" s="167"/>
      <c r="AA82" s="19"/>
    </row>
    <row r="83" spans="1:27" s="34" customFormat="1" ht="75" x14ac:dyDescent="0.2">
      <c r="A83" s="41"/>
      <c r="B83" s="262">
        <v>69</v>
      </c>
      <c r="C83" s="262">
        <v>108102</v>
      </c>
      <c r="D83" s="262">
        <v>140100</v>
      </c>
      <c r="E83" s="269" t="s">
        <v>273</v>
      </c>
      <c r="F83" s="263" t="s">
        <v>808</v>
      </c>
      <c r="G83" s="264" t="s">
        <v>237</v>
      </c>
      <c r="H83" s="271" t="s">
        <v>290</v>
      </c>
      <c r="I83" s="82" t="s">
        <v>63</v>
      </c>
      <c r="J83" s="59">
        <v>18000</v>
      </c>
      <c r="K83" s="88">
        <v>21</v>
      </c>
      <c r="L83" s="88" t="s">
        <v>968</v>
      </c>
      <c r="M83" s="88" t="s">
        <v>959</v>
      </c>
      <c r="N83" s="89">
        <v>25333</v>
      </c>
      <c r="O83" s="62">
        <v>897.7</v>
      </c>
      <c r="P83" s="59">
        <v>19800</v>
      </c>
      <c r="Q83" s="59">
        <f t="shared" si="16"/>
        <v>22.056366269355017</v>
      </c>
      <c r="R83" s="63">
        <v>2006</v>
      </c>
      <c r="S83" s="90">
        <v>0.1</v>
      </c>
      <c r="T83" s="266" t="s">
        <v>1554</v>
      </c>
      <c r="U83" s="272" t="s">
        <v>13</v>
      </c>
      <c r="V83" s="267">
        <v>19800</v>
      </c>
      <c r="W83" s="267">
        <f t="shared" si="21"/>
        <v>275616</v>
      </c>
      <c r="X83" s="267">
        <f t="shared" ref="X83:X85" si="22">ROUND(+V83*1.16*12*1.1,2)</f>
        <v>303177.59999999998</v>
      </c>
      <c r="Y83" s="268" t="s">
        <v>1567</v>
      </c>
      <c r="Z83" s="167"/>
      <c r="AA83" s="19"/>
    </row>
    <row r="84" spans="1:27" s="34" customFormat="1" ht="75" x14ac:dyDescent="0.2">
      <c r="A84" s="41"/>
      <c r="B84" s="262">
        <v>70</v>
      </c>
      <c r="C84" s="262">
        <v>108002</v>
      </c>
      <c r="D84" s="262">
        <v>150900</v>
      </c>
      <c r="E84" s="269" t="s">
        <v>273</v>
      </c>
      <c r="F84" s="263" t="s">
        <v>1355</v>
      </c>
      <c r="G84" s="264" t="s">
        <v>262</v>
      </c>
      <c r="H84" s="271" t="s">
        <v>1356</v>
      </c>
      <c r="I84" s="92" t="s">
        <v>1357</v>
      </c>
      <c r="J84" s="59">
        <v>258016</v>
      </c>
      <c r="K84" s="88">
        <v>2</v>
      </c>
      <c r="L84" s="88">
        <v>7658</v>
      </c>
      <c r="M84" s="88"/>
      <c r="N84" s="89">
        <v>475142</v>
      </c>
      <c r="O84" s="62">
        <v>5864.5</v>
      </c>
      <c r="P84" s="59">
        <v>258016</v>
      </c>
      <c r="Q84" s="59">
        <f t="shared" si="16"/>
        <v>43.996248614545145</v>
      </c>
      <c r="R84" s="63" t="s">
        <v>16</v>
      </c>
      <c r="S84" s="90" t="s">
        <v>16</v>
      </c>
      <c r="T84" s="266" t="s">
        <v>1554</v>
      </c>
      <c r="U84" s="272" t="s">
        <v>13</v>
      </c>
      <c r="V84" s="267">
        <v>258016</v>
      </c>
      <c r="W84" s="267">
        <f t="shared" si="21"/>
        <v>3591582.7199999997</v>
      </c>
      <c r="X84" s="267">
        <f t="shared" si="22"/>
        <v>3950740.99</v>
      </c>
      <c r="Y84" s="268" t="s">
        <v>1567</v>
      </c>
      <c r="Z84" s="167">
        <f>SUM(X71:X84)</f>
        <v>13034816.67</v>
      </c>
      <c r="AA84" s="19"/>
    </row>
    <row r="85" spans="1:27" s="34" customFormat="1" ht="75" x14ac:dyDescent="0.2">
      <c r="A85" s="41"/>
      <c r="B85" s="262">
        <v>71</v>
      </c>
      <c r="C85" s="262" t="s">
        <v>1283</v>
      </c>
      <c r="D85" s="262">
        <v>380200</v>
      </c>
      <c r="E85" s="269" t="s">
        <v>303</v>
      </c>
      <c r="F85" s="263" t="s">
        <v>648</v>
      </c>
      <c r="G85" s="271" t="s">
        <v>304</v>
      </c>
      <c r="H85" s="271" t="s">
        <v>1455</v>
      </c>
      <c r="I85" s="93" t="s">
        <v>649</v>
      </c>
      <c r="J85" s="59">
        <v>43500</v>
      </c>
      <c r="K85" s="88">
        <v>3</v>
      </c>
      <c r="L85" s="88">
        <v>7080</v>
      </c>
      <c r="M85" s="88" t="s">
        <v>983</v>
      </c>
      <c r="N85" s="89">
        <v>116002</v>
      </c>
      <c r="O85" s="62">
        <v>1044.78</v>
      </c>
      <c r="P85" s="59">
        <v>37500</v>
      </c>
      <c r="Q85" s="59">
        <f t="shared" si="16"/>
        <v>35.892723827025783</v>
      </c>
      <c r="R85" s="63" t="s">
        <v>16</v>
      </c>
      <c r="S85" s="90" t="s">
        <v>16</v>
      </c>
      <c r="T85" s="272" t="s">
        <v>13</v>
      </c>
      <c r="U85" s="272" t="s">
        <v>13</v>
      </c>
      <c r="V85" s="267">
        <v>37500</v>
      </c>
      <c r="W85" s="267">
        <f t="shared" si="21"/>
        <v>522000</v>
      </c>
      <c r="X85" s="267">
        <f t="shared" si="22"/>
        <v>574200</v>
      </c>
      <c r="Y85" s="268" t="s">
        <v>1567</v>
      </c>
      <c r="Z85" s="167"/>
      <c r="AA85" s="19"/>
    </row>
    <row r="86" spans="1:27" s="34" customFormat="1" ht="56.25" x14ac:dyDescent="0.2">
      <c r="A86" s="41"/>
      <c r="B86" s="290">
        <v>72</v>
      </c>
      <c r="C86" s="290" t="s">
        <v>1284</v>
      </c>
      <c r="D86" s="290">
        <v>920201</v>
      </c>
      <c r="E86" s="297" t="s">
        <v>303</v>
      </c>
      <c r="F86" s="291" t="s">
        <v>823</v>
      </c>
      <c r="G86" s="299" t="s">
        <v>254</v>
      </c>
      <c r="H86" s="299" t="s">
        <v>306</v>
      </c>
      <c r="I86" s="86" t="s">
        <v>69</v>
      </c>
      <c r="J86" s="59">
        <v>3500</v>
      </c>
      <c r="K86" s="88">
        <v>25</v>
      </c>
      <c r="L86" s="88" t="s">
        <v>984</v>
      </c>
      <c r="M86" s="88" t="s">
        <v>985</v>
      </c>
      <c r="N86" s="89">
        <v>10702</v>
      </c>
      <c r="O86" s="62">
        <v>404.01</v>
      </c>
      <c r="P86" s="59">
        <v>8000</v>
      </c>
      <c r="Q86" s="59">
        <f t="shared" si="16"/>
        <v>19.801490062127176</v>
      </c>
      <c r="R86" s="63">
        <v>2008</v>
      </c>
      <c r="S86" s="90">
        <v>0.16</v>
      </c>
      <c r="T86" s="300" t="s">
        <v>11</v>
      </c>
      <c r="U86" s="300" t="s">
        <v>11</v>
      </c>
      <c r="V86" s="295">
        <v>8000</v>
      </c>
      <c r="W86" s="295">
        <f t="shared" si="21"/>
        <v>111360</v>
      </c>
      <c r="X86" s="295">
        <f t="shared" ref="X86:X87" si="23">ROUND(+V86*1.15*12*1.16,2)</f>
        <v>128064</v>
      </c>
      <c r="Y86" s="296" t="s">
        <v>1566</v>
      </c>
      <c r="Z86" s="167"/>
      <c r="AA86" s="19"/>
    </row>
    <row r="87" spans="1:27" s="34" customFormat="1" ht="93.75" x14ac:dyDescent="0.2">
      <c r="A87" s="41"/>
      <c r="B87" s="290">
        <v>73</v>
      </c>
      <c r="C87" s="290" t="s">
        <v>1285</v>
      </c>
      <c r="D87" s="290">
        <v>920201</v>
      </c>
      <c r="E87" s="297" t="s">
        <v>303</v>
      </c>
      <c r="F87" s="291" t="s">
        <v>824</v>
      </c>
      <c r="G87" s="299" t="s">
        <v>254</v>
      </c>
      <c r="H87" s="299" t="s">
        <v>307</v>
      </c>
      <c r="I87" s="86" t="s">
        <v>70</v>
      </c>
      <c r="J87" s="59">
        <v>8935</v>
      </c>
      <c r="K87" s="88">
        <v>15</v>
      </c>
      <c r="L87" s="88" t="s">
        <v>986</v>
      </c>
      <c r="M87" s="88" t="s">
        <v>987</v>
      </c>
      <c r="N87" s="89">
        <v>19006</v>
      </c>
      <c r="O87" s="62">
        <v>525.6</v>
      </c>
      <c r="P87" s="59">
        <v>10319.92</v>
      </c>
      <c r="Q87" s="59">
        <f t="shared" si="16"/>
        <v>19.634550989345509</v>
      </c>
      <c r="R87" s="63">
        <v>2012</v>
      </c>
      <c r="S87" s="90">
        <v>0.05</v>
      </c>
      <c r="T87" s="300" t="s">
        <v>11</v>
      </c>
      <c r="U87" s="300" t="s">
        <v>11</v>
      </c>
      <c r="V87" s="295">
        <v>10319.92</v>
      </c>
      <c r="W87" s="295">
        <f t="shared" si="21"/>
        <v>143653.28639999998</v>
      </c>
      <c r="X87" s="295">
        <f t="shared" si="23"/>
        <v>165201.28</v>
      </c>
      <c r="Y87" s="296" t="s">
        <v>1566</v>
      </c>
      <c r="Z87" s="167"/>
      <c r="AA87" s="19"/>
    </row>
    <row r="88" spans="1:27" s="34" customFormat="1" ht="75" x14ac:dyDescent="0.2">
      <c r="A88" s="41"/>
      <c r="B88" s="262">
        <v>74</v>
      </c>
      <c r="C88" s="262" t="s">
        <v>1286</v>
      </c>
      <c r="D88" s="262">
        <v>200201</v>
      </c>
      <c r="E88" s="269" t="s">
        <v>303</v>
      </c>
      <c r="F88" s="263" t="s">
        <v>818</v>
      </c>
      <c r="G88" s="271" t="s">
        <v>571</v>
      </c>
      <c r="H88" s="271" t="s">
        <v>308</v>
      </c>
      <c r="I88" s="86" t="s">
        <v>215</v>
      </c>
      <c r="J88" s="59">
        <v>39809</v>
      </c>
      <c r="K88" s="88">
        <v>6</v>
      </c>
      <c r="L88" s="88">
        <v>3571</v>
      </c>
      <c r="M88" s="88" t="s">
        <v>988</v>
      </c>
      <c r="N88" s="89">
        <v>163293.69</v>
      </c>
      <c r="O88" s="62">
        <v>2390.48</v>
      </c>
      <c r="P88" s="59">
        <v>39809</v>
      </c>
      <c r="Q88" s="59">
        <f t="shared" si="16"/>
        <v>16.653140791807502</v>
      </c>
      <c r="R88" s="63" t="s">
        <v>1334</v>
      </c>
      <c r="S88" s="90" t="s">
        <v>16</v>
      </c>
      <c r="T88" s="266" t="s">
        <v>1554</v>
      </c>
      <c r="U88" s="272" t="s">
        <v>13</v>
      </c>
      <c r="V88" s="267">
        <v>39809</v>
      </c>
      <c r="W88" s="267">
        <f t="shared" si="21"/>
        <v>554141.27999999991</v>
      </c>
      <c r="X88" s="267">
        <f t="shared" ref="X88:X90" si="24">ROUND(+V88*1.16*12*1.1,2)</f>
        <v>609555.41</v>
      </c>
      <c r="Y88" s="268" t="s">
        <v>1567</v>
      </c>
      <c r="Z88" s="167"/>
      <c r="AA88" s="19"/>
    </row>
    <row r="89" spans="1:27" s="34" customFormat="1" ht="93.75" x14ac:dyDescent="0.2">
      <c r="A89" s="41"/>
      <c r="B89" s="262">
        <v>75</v>
      </c>
      <c r="C89" s="262" t="s">
        <v>1287</v>
      </c>
      <c r="D89" s="262">
        <v>900110</v>
      </c>
      <c r="E89" s="269" t="s">
        <v>303</v>
      </c>
      <c r="F89" s="263" t="s">
        <v>819</v>
      </c>
      <c r="G89" s="271" t="s">
        <v>227</v>
      </c>
      <c r="H89" s="271" t="s">
        <v>309</v>
      </c>
      <c r="I89" s="94" t="s">
        <v>64</v>
      </c>
      <c r="J89" s="59">
        <v>30000</v>
      </c>
      <c r="K89" s="88">
        <v>9</v>
      </c>
      <c r="L89" s="88" t="s">
        <v>989</v>
      </c>
      <c r="M89" s="88" t="s">
        <v>990</v>
      </c>
      <c r="N89" s="89">
        <v>33346</v>
      </c>
      <c r="O89" s="62">
        <v>789.02</v>
      </c>
      <c r="P89" s="59">
        <v>32031</v>
      </c>
      <c r="Q89" s="59">
        <f t="shared" si="16"/>
        <v>40.595929127271809</v>
      </c>
      <c r="R89" s="63">
        <v>2018</v>
      </c>
      <c r="S89" s="88">
        <v>6.77</v>
      </c>
      <c r="T89" s="266" t="s">
        <v>1554</v>
      </c>
      <c r="U89" s="272" t="s">
        <v>13</v>
      </c>
      <c r="V89" s="267">
        <v>32031</v>
      </c>
      <c r="W89" s="267">
        <f t="shared" si="21"/>
        <v>445871.52</v>
      </c>
      <c r="X89" s="267">
        <f t="shared" si="24"/>
        <v>490458.67</v>
      </c>
      <c r="Y89" s="268" t="s">
        <v>1567</v>
      </c>
      <c r="Z89" s="167"/>
      <c r="AA89" s="19"/>
    </row>
    <row r="90" spans="1:27" s="34" customFormat="1" ht="56.25" x14ac:dyDescent="0.2">
      <c r="A90" s="41"/>
      <c r="B90" s="262">
        <v>76</v>
      </c>
      <c r="C90" s="262" t="s">
        <v>1288</v>
      </c>
      <c r="D90" s="262">
        <v>900110</v>
      </c>
      <c r="E90" s="269" t="s">
        <v>303</v>
      </c>
      <c r="F90" s="263" t="s">
        <v>820</v>
      </c>
      <c r="G90" s="271" t="s">
        <v>227</v>
      </c>
      <c r="H90" s="271" t="s">
        <v>310</v>
      </c>
      <c r="I90" s="86" t="s">
        <v>65</v>
      </c>
      <c r="J90" s="59">
        <v>15000</v>
      </c>
      <c r="K90" s="88">
        <v>28</v>
      </c>
      <c r="L90" s="88" t="s">
        <v>991</v>
      </c>
      <c r="M90" s="88" t="s">
        <v>992</v>
      </c>
      <c r="N90" s="89">
        <v>43016</v>
      </c>
      <c r="O90" s="62">
        <v>1271.54</v>
      </c>
      <c r="P90" s="59">
        <v>38112.720000000001</v>
      </c>
      <c r="Q90" s="59">
        <f t="shared" si="16"/>
        <v>29.973669723327621</v>
      </c>
      <c r="R90" s="63">
        <v>2018</v>
      </c>
      <c r="S90" s="88">
        <v>6.77</v>
      </c>
      <c r="T90" s="266" t="s">
        <v>1554</v>
      </c>
      <c r="U90" s="272" t="s">
        <v>13</v>
      </c>
      <c r="V90" s="267">
        <v>38112.720000000001</v>
      </c>
      <c r="W90" s="267">
        <f t="shared" si="21"/>
        <v>530529.06239999994</v>
      </c>
      <c r="X90" s="267">
        <f t="shared" si="24"/>
        <v>583581.97</v>
      </c>
      <c r="Y90" s="268" t="s">
        <v>1567</v>
      </c>
      <c r="Z90" s="167"/>
      <c r="AA90" s="19"/>
    </row>
    <row r="91" spans="1:27" s="34" customFormat="1" ht="75" x14ac:dyDescent="0.2">
      <c r="A91" s="41"/>
      <c r="B91" s="290">
        <v>77</v>
      </c>
      <c r="C91" s="290" t="s">
        <v>1289</v>
      </c>
      <c r="D91" s="290">
        <v>380200</v>
      </c>
      <c r="E91" s="297" t="s">
        <v>303</v>
      </c>
      <c r="F91" s="291" t="s">
        <v>821</v>
      </c>
      <c r="G91" s="299" t="s">
        <v>572</v>
      </c>
      <c r="H91" s="299" t="s">
        <v>311</v>
      </c>
      <c r="I91" s="93" t="s">
        <v>66</v>
      </c>
      <c r="J91" s="59">
        <v>8000</v>
      </c>
      <c r="K91" s="88">
        <v>23</v>
      </c>
      <c r="L91" s="88" t="s">
        <v>993</v>
      </c>
      <c r="M91" s="88" t="s">
        <v>994</v>
      </c>
      <c r="N91" s="89">
        <v>37371</v>
      </c>
      <c r="O91" s="62">
        <v>886</v>
      </c>
      <c r="P91" s="59">
        <v>30415.439999999999</v>
      </c>
      <c r="Q91" s="59">
        <f t="shared" si="16"/>
        <v>34.328939051918738</v>
      </c>
      <c r="R91" s="63">
        <v>2012</v>
      </c>
      <c r="S91" s="90">
        <v>0.2</v>
      </c>
      <c r="T91" s="300" t="s">
        <v>11</v>
      </c>
      <c r="U91" s="300" t="s">
        <v>11</v>
      </c>
      <c r="V91" s="295">
        <v>30415.439999999999</v>
      </c>
      <c r="W91" s="295">
        <f t="shared" si="21"/>
        <v>423382.92479999992</v>
      </c>
      <c r="X91" s="295">
        <f>ROUND(+V91*1.15*12*1.16,2)</f>
        <v>486890.36</v>
      </c>
      <c r="Y91" s="296" t="s">
        <v>1566</v>
      </c>
      <c r="Z91" s="167"/>
      <c r="AA91" s="19"/>
    </row>
    <row r="92" spans="1:27" s="34" customFormat="1" ht="75" x14ac:dyDescent="0.2">
      <c r="A92" s="41"/>
      <c r="B92" s="262">
        <v>78</v>
      </c>
      <c r="C92" s="262" t="s">
        <v>1290</v>
      </c>
      <c r="D92" s="262">
        <v>380200</v>
      </c>
      <c r="E92" s="269" t="s">
        <v>303</v>
      </c>
      <c r="F92" s="263" t="s">
        <v>822</v>
      </c>
      <c r="G92" s="271" t="s">
        <v>868</v>
      </c>
      <c r="H92" s="278" t="s">
        <v>312</v>
      </c>
      <c r="I92" s="86" t="s">
        <v>67</v>
      </c>
      <c r="J92" s="59">
        <v>950</v>
      </c>
      <c r="K92" s="88">
        <v>34</v>
      </c>
      <c r="L92" s="88" t="s">
        <v>995</v>
      </c>
      <c r="M92" s="88" t="s">
        <v>996</v>
      </c>
      <c r="N92" s="89">
        <v>44115</v>
      </c>
      <c r="O92" s="62">
        <v>1379.04</v>
      </c>
      <c r="P92" s="59">
        <v>28159.99</v>
      </c>
      <c r="Q92" s="59">
        <f t="shared" si="16"/>
        <v>20.419995069033533</v>
      </c>
      <c r="R92" s="63" t="s">
        <v>1330</v>
      </c>
      <c r="S92" s="88" t="s">
        <v>16</v>
      </c>
      <c r="T92" s="266" t="s">
        <v>1554</v>
      </c>
      <c r="U92" s="272" t="s">
        <v>13</v>
      </c>
      <c r="V92" s="267">
        <v>28159.99</v>
      </c>
      <c r="W92" s="267">
        <f t="shared" si="21"/>
        <v>391987.06079999998</v>
      </c>
      <c r="X92" s="267">
        <f t="shared" ref="X92:X93" si="25">ROUND(+V92*1.16*12*1.1,2)</f>
        <v>431185.77</v>
      </c>
      <c r="Y92" s="268" t="s">
        <v>1567</v>
      </c>
      <c r="Z92" s="167"/>
      <c r="AA92" s="19"/>
    </row>
    <row r="93" spans="1:27" s="34" customFormat="1" ht="56.25" x14ac:dyDescent="0.2">
      <c r="A93" s="41"/>
      <c r="B93" s="262">
        <v>79</v>
      </c>
      <c r="C93" s="262" t="s">
        <v>1291</v>
      </c>
      <c r="D93" s="262">
        <v>150100</v>
      </c>
      <c r="E93" s="269" t="s">
        <v>303</v>
      </c>
      <c r="F93" s="263" t="s">
        <v>825</v>
      </c>
      <c r="G93" s="271" t="s">
        <v>573</v>
      </c>
      <c r="H93" s="271" t="s">
        <v>313</v>
      </c>
      <c r="I93" s="86" t="s">
        <v>71</v>
      </c>
      <c r="J93" s="59">
        <v>16443.89</v>
      </c>
      <c r="K93" s="88">
        <v>25</v>
      </c>
      <c r="L93" s="88">
        <v>6785</v>
      </c>
      <c r="M93" s="88" t="s">
        <v>997</v>
      </c>
      <c r="N93" s="89">
        <v>245544</v>
      </c>
      <c r="O93" s="62">
        <v>2343.1999999999998</v>
      </c>
      <c r="P93" s="59">
        <v>31582.21</v>
      </c>
      <c r="Q93" s="59">
        <f t="shared" si="16"/>
        <v>13.478239160122909</v>
      </c>
      <c r="R93" s="63">
        <v>2018</v>
      </c>
      <c r="S93" s="90">
        <v>0.1</v>
      </c>
      <c r="T93" s="266" t="s">
        <v>1554</v>
      </c>
      <c r="U93" s="272" t="s">
        <v>13</v>
      </c>
      <c r="V93" s="267">
        <v>31582.21</v>
      </c>
      <c r="W93" s="267">
        <f t="shared" si="21"/>
        <v>439624.36319999996</v>
      </c>
      <c r="X93" s="267">
        <f t="shared" si="25"/>
        <v>483586.8</v>
      </c>
      <c r="Y93" s="268" t="s">
        <v>1567</v>
      </c>
      <c r="Z93" s="167">
        <f>SUM(X85:X93)</f>
        <v>3952724.26</v>
      </c>
      <c r="AA93" s="19"/>
    </row>
    <row r="94" spans="1:27" s="34" customFormat="1" ht="93.75" x14ac:dyDescent="0.2">
      <c r="A94" s="41"/>
      <c r="B94" s="218">
        <v>80</v>
      </c>
      <c r="C94" s="218">
        <v>122415</v>
      </c>
      <c r="D94" s="218">
        <v>200200</v>
      </c>
      <c r="E94" s="227" t="s">
        <v>314</v>
      </c>
      <c r="F94" s="219" t="s">
        <v>828</v>
      </c>
      <c r="G94" s="228" t="s">
        <v>317</v>
      </c>
      <c r="H94" s="228" t="s">
        <v>320</v>
      </c>
      <c r="I94" s="95" t="s">
        <v>217</v>
      </c>
      <c r="J94" s="96">
        <v>4241</v>
      </c>
      <c r="K94" s="88">
        <v>5</v>
      </c>
      <c r="L94" s="88">
        <v>4818</v>
      </c>
      <c r="M94" s="88" t="s">
        <v>1527</v>
      </c>
      <c r="N94" s="89">
        <v>4241</v>
      </c>
      <c r="O94" s="62">
        <v>185.76</v>
      </c>
      <c r="P94" s="59">
        <v>4241</v>
      </c>
      <c r="Q94" s="59">
        <f t="shared" si="16"/>
        <v>22.830534022394488</v>
      </c>
      <c r="R94" s="63" t="s">
        <v>16</v>
      </c>
      <c r="S94" s="90" t="s">
        <v>16</v>
      </c>
      <c r="T94" s="222" t="s">
        <v>1554</v>
      </c>
      <c r="U94" s="222" t="s">
        <v>1554</v>
      </c>
      <c r="V94" s="223">
        <v>4241</v>
      </c>
      <c r="W94" s="223">
        <f t="shared" si="21"/>
        <v>59034.719999999994</v>
      </c>
      <c r="X94" s="223">
        <f t="shared" ref="X94:X96" si="26">ROUND(+W94,2)</f>
        <v>59034.720000000001</v>
      </c>
      <c r="Y94" s="224"/>
      <c r="Z94" s="167"/>
      <c r="AA94" s="19"/>
    </row>
    <row r="95" spans="1:27" s="33" customFormat="1" ht="75" x14ac:dyDescent="0.2">
      <c r="A95" s="41"/>
      <c r="B95" s="218">
        <v>81</v>
      </c>
      <c r="C95" s="218">
        <v>122409</v>
      </c>
      <c r="D95" s="218">
        <v>200200</v>
      </c>
      <c r="E95" s="227" t="s">
        <v>314</v>
      </c>
      <c r="F95" s="219" t="s">
        <v>826</v>
      </c>
      <c r="G95" s="228" t="s">
        <v>315</v>
      </c>
      <c r="H95" s="228" t="s">
        <v>318</v>
      </c>
      <c r="I95" s="95" t="s">
        <v>72</v>
      </c>
      <c r="J95" s="59">
        <v>2800</v>
      </c>
      <c r="K95" s="88">
        <v>20</v>
      </c>
      <c r="L95" s="88" t="s">
        <v>1386</v>
      </c>
      <c r="M95" s="88" t="s">
        <v>1387</v>
      </c>
      <c r="N95" s="89">
        <v>7958</v>
      </c>
      <c r="O95" s="62">
        <v>323.49</v>
      </c>
      <c r="P95" s="97">
        <v>6061</v>
      </c>
      <c r="Q95" s="59">
        <f t="shared" si="16"/>
        <v>18.736282419858419</v>
      </c>
      <c r="R95" s="63" t="s">
        <v>1330</v>
      </c>
      <c r="S95" s="88" t="s">
        <v>16</v>
      </c>
      <c r="T95" s="222" t="s">
        <v>1554</v>
      </c>
      <c r="U95" s="222" t="s">
        <v>1554</v>
      </c>
      <c r="V95" s="223">
        <v>6061</v>
      </c>
      <c r="W95" s="223">
        <f t="shared" si="21"/>
        <v>84369.12</v>
      </c>
      <c r="X95" s="223">
        <f t="shared" si="26"/>
        <v>84369.12</v>
      </c>
      <c r="Y95" s="224"/>
      <c r="Z95" s="167"/>
      <c r="AA95" s="3"/>
    </row>
    <row r="96" spans="1:27" s="33" customFormat="1" ht="56.25" x14ac:dyDescent="0.2">
      <c r="A96" s="41"/>
      <c r="B96" s="218">
        <v>82</v>
      </c>
      <c r="C96" s="218">
        <v>122401</v>
      </c>
      <c r="D96" s="218">
        <v>200201</v>
      </c>
      <c r="E96" s="227" t="s">
        <v>314</v>
      </c>
      <c r="F96" s="219" t="s">
        <v>827</v>
      </c>
      <c r="G96" s="228" t="s">
        <v>316</v>
      </c>
      <c r="H96" s="228" t="s">
        <v>319</v>
      </c>
      <c r="I96" s="86" t="s">
        <v>73</v>
      </c>
      <c r="J96" s="59">
        <v>5000</v>
      </c>
      <c r="K96" s="88">
        <v>9</v>
      </c>
      <c r="L96" s="88" t="s">
        <v>998</v>
      </c>
      <c r="M96" s="88" t="s">
        <v>999</v>
      </c>
      <c r="N96" s="89">
        <v>8228</v>
      </c>
      <c r="O96" s="62">
        <v>152.97</v>
      </c>
      <c r="P96" s="59">
        <v>5000</v>
      </c>
      <c r="Q96" s="59">
        <f t="shared" si="16"/>
        <v>32.686147610642607</v>
      </c>
      <c r="R96" s="63" t="s">
        <v>1334</v>
      </c>
      <c r="S96" s="88" t="s">
        <v>16</v>
      </c>
      <c r="T96" s="222" t="s">
        <v>1554</v>
      </c>
      <c r="U96" s="222" t="s">
        <v>1554</v>
      </c>
      <c r="V96" s="223">
        <v>5000</v>
      </c>
      <c r="W96" s="223">
        <f t="shared" si="21"/>
        <v>69600</v>
      </c>
      <c r="X96" s="223">
        <f t="shared" si="26"/>
        <v>69600</v>
      </c>
      <c r="Y96" s="224"/>
      <c r="Z96" s="167"/>
      <c r="AA96" s="3"/>
    </row>
    <row r="97" spans="1:27" s="33" customFormat="1" ht="56.25" x14ac:dyDescent="0.2">
      <c r="A97" s="41"/>
      <c r="B97" s="262">
        <v>83</v>
      </c>
      <c r="C97" s="262">
        <v>120201</v>
      </c>
      <c r="D97" s="262">
        <v>200201</v>
      </c>
      <c r="E97" s="269" t="s">
        <v>314</v>
      </c>
      <c r="F97" s="263" t="s">
        <v>829</v>
      </c>
      <c r="G97" s="271" t="s">
        <v>321</v>
      </c>
      <c r="H97" s="271" t="s">
        <v>322</v>
      </c>
      <c r="I97" s="86" t="s">
        <v>74</v>
      </c>
      <c r="J97" s="59">
        <v>3000</v>
      </c>
      <c r="K97" s="88">
        <v>17</v>
      </c>
      <c r="L97" s="88" t="s">
        <v>1000</v>
      </c>
      <c r="M97" s="88" t="s">
        <v>1001</v>
      </c>
      <c r="N97" s="89">
        <v>5404.94</v>
      </c>
      <c r="O97" s="62">
        <v>184.58</v>
      </c>
      <c r="P97" s="59">
        <v>3150</v>
      </c>
      <c r="Q97" s="59">
        <f t="shared" si="16"/>
        <v>17.065770939430056</v>
      </c>
      <c r="R97" s="63">
        <v>2007</v>
      </c>
      <c r="S97" s="90">
        <v>0.05</v>
      </c>
      <c r="T97" s="272" t="s">
        <v>13</v>
      </c>
      <c r="U97" s="272" t="s">
        <v>13</v>
      </c>
      <c r="V97" s="267">
        <v>3150</v>
      </c>
      <c r="W97" s="267">
        <f t="shared" si="21"/>
        <v>43847.999999999993</v>
      </c>
      <c r="X97" s="267">
        <f>ROUND(+V97*1.16*12*1.1,2)</f>
        <v>48232.800000000003</v>
      </c>
      <c r="Y97" s="268" t="s">
        <v>1567</v>
      </c>
      <c r="Z97" s="167"/>
      <c r="AA97" s="3"/>
    </row>
    <row r="98" spans="1:27" s="33" customFormat="1" ht="75" x14ac:dyDescent="0.2">
      <c r="A98" s="41"/>
      <c r="B98" s="218">
        <v>84</v>
      </c>
      <c r="C98" s="218">
        <v>126303</v>
      </c>
      <c r="D98" s="218">
        <v>320200</v>
      </c>
      <c r="E98" s="227" t="s">
        <v>314</v>
      </c>
      <c r="F98" s="219" t="s">
        <v>830</v>
      </c>
      <c r="G98" s="228" t="s">
        <v>574</v>
      </c>
      <c r="H98" s="228" t="s">
        <v>1432</v>
      </c>
      <c r="I98" s="98" t="s">
        <v>75</v>
      </c>
      <c r="J98" s="59">
        <v>21000</v>
      </c>
      <c r="K98" s="74">
        <v>19</v>
      </c>
      <c r="L98" s="74" t="s">
        <v>1002</v>
      </c>
      <c r="M98" s="74" t="s">
        <v>1003</v>
      </c>
      <c r="N98" s="83">
        <v>51117</v>
      </c>
      <c r="O98" s="62">
        <v>468.79</v>
      </c>
      <c r="P98" s="59">
        <v>23100</v>
      </c>
      <c r="Q98" s="59">
        <f t="shared" si="16"/>
        <v>49.275795132148723</v>
      </c>
      <c r="R98" s="63">
        <v>2015</v>
      </c>
      <c r="S98" s="85">
        <v>0.1</v>
      </c>
      <c r="T98" s="222" t="s">
        <v>1554</v>
      </c>
      <c r="U98" s="222" t="s">
        <v>1554</v>
      </c>
      <c r="V98" s="223">
        <v>23100</v>
      </c>
      <c r="W98" s="223">
        <f t="shared" si="21"/>
        <v>321551.99999999994</v>
      </c>
      <c r="X98" s="223">
        <f>ROUND(+W98,2)</f>
        <v>321552</v>
      </c>
      <c r="Y98" s="224"/>
      <c r="Z98" s="167"/>
      <c r="AA98" s="3"/>
    </row>
    <row r="99" spans="1:27" s="33" customFormat="1" ht="93.75" x14ac:dyDescent="0.2">
      <c r="A99" s="41"/>
      <c r="B99" s="262">
        <v>85</v>
      </c>
      <c r="C99" s="262">
        <v>125305</v>
      </c>
      <c r="D99" s="262">
        <v>310203</v>
      </c>
      <c r="E99" s="269" t="s">
        <v>314</v>
      </c>
      <c r="F99" s="263" t="s">
        <v>831</v>
      </c>
      <c r="G99" s="271" t="s">
        <v>292</v>
      </c>
      <c r="H99" s="271" t="s">
        <v>323</v>
      </c>
      <c r="I99" s="86" t="s">
        <v>76</v>
      </c>
      <c r="J99" s="59">
        <v>13043.47</v>
      </c>
      <c r="K99" s="74">
        <v>21</v>
      </c>
      <c r="L99" s="74" t="s">
        <v>1004</v>
      </c>
      <c r="M99" s="74" t="s">
        <v>1005</v>
      </c>
      <c r="N99" s="83">
        <v>17446.5</v>
      </c>
      <c r="O99" s="62">
        <v>546.5</v>
      </c>
      <c r="P99" s="59">
        <v>14955</v>
      </c>
      <c r="Q99" s="59">
        <f t="shared" si="16"/>
        <v>27.365050320219581</v>
      </c>
      <c r="R99" s="63" t="s">
        <v>1330</v>
      </c>
      <c r="S99" s="74" t="s">
        <v>16</v>
      </c>
      <c r="T99" s="272" t="s">
        <v>13</v>
      </c>
      <c r="U99" s="272" t="s">
        <v>13</v>
      </c>
      <c r="V99" s="267">
        <v>14955</v>
      </c>
      <c r="W99" s="267">
        <f t="shared" si="21"/>
        <v>208173.59999999998</v>
      </c>
      <c r="X99" s="267">
        <f>ROUND(+V99*1.16*12*1.1,2)</f>
        <v>228990.96</v>
      </c>
      <c r="Y99" s="268" t="s">
        <v>1567</v>
      </c>
      <c r="Z99" s="167"/>
      <c r="AA99" s="3"/>
    </row>
    <row r="100" spans="1:27" s="33" customFormat="1" ht="93.75" x14ac:dyDescent="0.2">
      <c r="A100" s="41"/>
      <c r="B100" s="290">
        <v>86</v>
      </c>
      <c r="C100" s="290">
        <v>129105</v>
      </c>
      <c r="D100" s="290">
        <v>900110</v>
      </c>
      <c r="E100" s="297" t="s">
        <v>314</v>
      </c>
      <c r="F100" s="291" t="s">
        <v>832</v>
      </c>
      <c r="G100" s="299" t="s">
        <v>575</v>
      </c>
      <c r="H100" s="299" t="s">
        <v>324</v>
      </c>
      <c r="I100" s="86" t="s">
        <v>77</v>
      </c>
      <c r="J100" s="59">
        <v>6000</v>
      </c>
      <c r="K100" s="74">
        <v>10</v>
      </c>
      <c r="L100" s="74" t="s">
        <v>1006</v>
      </c>
      <c r="M100" s="74" t="s">
        <v>1007</v>
      </c>
      <c r="N100" s="83">
        <v>7929</v>
      </c>
      <c r="O100" s="62">
        <v>176.91</v>
      </c>
      <c r="P100" s="59">
        <v>6000</v>
      </c>
      <c r="Q100" s="59">
        <f t="shared" si="16"/>
        <v>33.915550279803291</v>
      </c>
      <c r="R100" s="63" t="s">
        <v>1334</v>
      </c>
      <c r="S100" s="74" t="s">
        <v>16</v>
      </c>
      <c r="T100" s="300" t="s">
        <v>11</v>
      </c>
      <c r="U100" s="300" t="s">
        <v>11</v>
      </c>
      <c r="V100" s="295">
        <v>6000</v>
      </c>
      <c r="W100" s="295">
        <f t="shared" si="21"/>
        <v>83519.999999999985</v>
      </c>
      <c r="X100" s="295">
        <f>ROUND(+V100*1.15*12*1.16,2)</f>
        <v>96048</v>
      </c>
      <c r="Y100" s="296" t="s">
        <v>1566</v>
      </c>
      <c r="Z100" s="167">
        <f>SUM(X94:X100)</f>
        <v>907827.6</v>
      </c>
      <c r="AA100" s="3"/>
    </row>
    <row r="101" spans="1:27" s="33" customFormat="1" ht="93.75" x14ac:dyDescent="0.2">
      <c r="A101" s="41"/>
      <c r="B101" s="218">
        <v>87</v>
      </c>
      <c r="C101" s="218" t="s">
        <v>1292</v>
      </c>
      <c r="D101" s="218" t="s">
        <v>1282</v>
      </c>
      <c r="E101" s="227" t="s">
        <v>325</v>
      </c>
      <c r="F101" s="219" t="s">
        <v>1517</v>
      </c>
      <c r="G101" s="228" t="s">
        <v>623</v>
      </c>
      <c r="H101" s="228" t="s">
        <v>327</v>
      </c>
      <c r="I101" s="86" t="s">
        <v>210</v>
      </c>
      <c r="J101" s="59">
        <v>497343.44</v>
      </c>
      <c r="K101" s="74">
        <v>5</v>
      </c>
      <c r="L101" s="74">
        <v>4092</v>
      </c>
      <c r="M101" s="74" t="s">
        <v>1008</v>
      </c>
      <c r="N101" s="83">
        <v>889808</v>
      </c>
      <c r="O101" s="62">
        <v>5651.53</v>
      </c>
      <c r="P101" s="99">
        <v>497343.44</v>
      </c>
      <c r="Q101" s="59">
        <f t="shared" si="16"/>
        <v>88.001557100466599</v>
      </c>
      <c r="R101" s="63">
        <v>2015</v>
      </c>
      <c r="S101" s="100" t="s">
        <v>16</v>
      </c>
      <c r="T101" s="222" t="s">
        <v>1554</v>
      </c>
      <c r="U101" s="222" t="s">
        <v>1554</v>
      </c>
      <c r="V101" s="223">
        <v>497343.44</v>
      </c>
      <c r="W101" s="223">
        <f t="shared" si="21"/>
        <v>6923020.684799999</v>
      </c>
      <c r="X101" s="223">
        <f t="shared" ref="X101:X104" si="27">ROUND(+W101,2)</f>
        <v>6923020.6799999997</v>
      </c>
      <c r="Y101" s="224"/>
      <c r="Z101" s="167"/>
      <c r="AA101" s="3"/>
    </row>
    <row r="102" spans="1:27" s="33" customFormat="1" ht="56.25" x14ac:dyDescent="0.2">
      <c r="A102" s="41"/>
      <c r="B102" s="218">
        <v>88</v>
      </c>
      <c r="C102" s="218">
        <v>135903</v>
      </c>
      <c r="D102" s="218">
        <v>380200</v>
      </c>
      <c r="E102" s="227" t="s">
        <v>325</v>
      </c>
      <c r="F102" s="226" t="s">
        <v>833</v>
      </c>
      <c r="G102" s="220" t="s">
        <v>328</v>
      </c>
      <c r="H102" s="228" t="s">
        <v>329</v>
      </c>
      <c r="I102" s="86" t="s">
        <v>78</v>
      </c>
      <c r="J102" s="59">
        <v>22960</v>
      </c>
      <c r="K102" s="74">
        <v>14</v>
      </c>
      <c r="L102" s="74">
        <v>8763</v>
      </c>
      <c r="M102" s="74" t="s">
        <v>1446</v>
      </c>
      <c r="N102" s="83">
        <v>55975</v>
      </c>
      <c r="O102" s="62">
        <v>682.46</v>
      </c>
      <c r="P102" s="59">
        <v>25330.57</v>
      </c>
      <c r="Q102" s="59">
        <f t="shared" si="16"/>
        <v>37.116563608123549</v>
      </c>
      <c r="R102" s="63">
        <v>2020</v>
      </c>
      <c r="S102" s="101">
        <v>0.06</v>
      </c>
      <c r="T102" s="222" t="s">
        <v>1554</v>
      </c>
      <c r="U102" s="222" t="s">
        <v>1554</v>
      </c>
      <c r="V102" s="223">
        <v>25330.57</v>
      </c>
      <c r="W102" s="223">
        <f t="shared" si="21"/>
        <v>352601.5344</v>
      </c>
      <c r="X102" s="223">
        <f t="shared" si="27"/>
        <v>352601.53</v>
      </c>
      <c r="Y102" s="224"/>
      <c r="Z102" s="167">
        <f>+X101+X102</f>
        <v>7275622.21</v>
      </c>
      <c r="AA102" s="3"/>
    </row>
    <row r="103" spans="1:27" s="33" customFormat="1" ht="56.25" x14ac:dyDescent="0.2">
      <c r="A103" s="41"/>
      <c r="B103" s="218">
        <v>89</v>
      </c>
      <c r="C103" s="218">
        <v>142416</v>
      </c>
      <c r="D103" s="218">
        <v>200200</v>
      </c>
      <c r="E103" s="227" t="s">
        <v>330</v>
      </c>
      <c r="F103" s="219" t="s">
        <v>871</v>
      </c>
      <c r="G103" s="228" t="s">
        <v>331</v>
      </c>
      <c r="H103" s="221" t="s">
        <v>337</v>
      </c>
      <c r="I103" s="65" t="s">
        <v>79</v>
      </c>
      <c r="J103" s="59">
        <v>5270</v>
      </c>
      <c r="K103" s="60">
        <v>11</v>
      </c>
      <c r="L103" s="63">
        <v>7058</v>
      </c>
      <c r="M103" s="60" t="s">
        <v>594</v>
      </c>
      <c r="N103" s="61">
        <v>7706</v>
      </c>
      <c r="O103" s="62">
        <v>217.2</v>
      </c>
      <c r="P103" s="59">
        <v>7114.5</v>
      </c>
      <c r="Q103" s="59">
        <f t="shared" si="16"/>
        <v>32.755524861878456</v>
      </c>
      <c r="R103" s="63">
        <v>2018</v>
      </c>
      <c r="S103" s="102">
        <v>0.35</v>
      </c>
      <c r="T103" s="232" t="s">
        <v>13</v>
      </c>
      <c r="U103" s="222" t="s">
        <v>1554</v>
      </c>
      <c r="V103" s="223">
        <v>7114.5</v>
      </c>
      <c r="W103" s="223">
        <f t="shared" si="21"/>
        <v>99033.84</v>
      </c>
      <c r="X103" s="223">
        <f t="shared" si="27"/>
        <v>99033.84</v>
      </c>
      <c r="Y103" s="224"/>
      <c r="Z103" s="167"/>
      <c r="AA103" s="3"/>
    </row>
    <row r="104" spans="1:27" s="33" customFormat="1" ht="56.25" x14ac:dyDescent="0.2">
      <c r="A104" s="41"/>
      <c r="B104" s="218">
        <v>90</v>
      </c>
      <c r="C104" s="218">
        <v>142421</v>
      </c>
      <c r="D104" s="218">
        <v>200200</v>
      </c>
      <c r="E104" s="227" t="s">
        <v>330</v>
      </c>
      <c r="F104" s="219" t="s">
        <v>872</v>
      </c>
      <c r="G104" s="228" t="s">
        <v>332</v>
      </c>
      <c r="H104" s="221" t="s">
        <v>1376</v>
      </c>
      <c r="I104" s="65" t="s">
        <v>80</v>
      </c>
      <c r="J104" s="59">
        <v>1500</v>
      </c>
      <c r="K104" s="60">
        <v>16</v>
      </c>
      <c r="L104" s="60" t="s">
        <v>1009</v>
      </c>
      <c r="M104" s="60" t="s">
        <v>1010</v>
      </c>
      <c r="N104" s="61">
        <v>2580</v>
      </c>
      <c r="O104" s="62">
        <v>172</v>
      </c>
      <c r="P104" s="59">
        <v>2500</v>
      </c>
      <c r="Q104" s="59">
        <f t="shared" si="16"/>
        <v>14.534883720930232</v>
      </c>
      <c r="R104" s="63">
        <v>2018</v>
      </c>
      <c r="S104" s="64" t="s">
        <v>618</v>
      </c>
      <c r="T104" s="232" t="s">
        <v>11</v>
      </c>
      <c r="U104" s="222" t="s">
        <v>1554</v>
      </c>
      <c r="V104" s="223">
        <v>2500</v>
      </c>
      <c r="W104" s="223">
        <f t="shared" si="21"/>
        <v>34800</v>
      </c>
      <c r="X104" s="223">
        <f t="shared" si="27"/>
        <v>34800</v>
      </c>
      <c r="Y104" s="224"/>
      <c r="Z104" s="167"/>
      <c r="AA104" s="3"/>
    </row>
    <row r="105" spans="1:27" s="33" customFormat="1" ht="56.25" x14ac:dyDescent="0.2">
      <c r="A105" s="41"/>
      <c r="B105" s="262">
        <v>91</v>
      </c>
      <c r="C105" s="262">
        <v>142211</v>
      </c>
      <c r="D105" s="262">
        <v>200200</v>
      </c>
      <c r="E105" s="269" t="s">
        <v>330</v>
      </c>
      <c r="F105" s="263" t="s">
        <v>873</v>
      </c>
      <c r="G105" s="271" t="s">
        <v>333</v>
      </c>
      <c r="H105" s="265" t="s">
        <v>338</v>
      </c>
      <c r="I105" s="65" t="s">
        <v>81</v>
      </c>
      <c r="J105" s="59">
        <v>55</v>
      </c>
      <c r="K105" s="60">
        <v>38</v>
      </c>
      <c r="L105" s="60" t="s">
        <v>1011</v>
      </c>
      <c r="M105" s="60" t="s">
        <v>1434</v>
      </c>
      <c r="N105" s="61">
        <v>20997</v>
      </c>
      <c r="O105" s="62">
        <v>723.34</v>
      </c>
      <c r="P105" s="59">
        <v>5528</v>
      </c>
      <c r="Q105" s="59">
        <f t="shared" si="16"/>
        <v>7.6423258771808555</v>
      </c>
      <c r="R105" s="63">
        <v>2009</v>
      </c>
      <c r="S105" s="64">
        <v>0.04</v>
      </c>
      <c r="T105" s="272" t="s">
        <v>11</v>
      </c>
      <c r="U105" s="272" t="s">
        <v>13</v>
      </c>
      <c r="V105" s="267">
        <v>5528</v>
      </c>
      <c r="W105" s="267">
        <f t="shared" si="21"/>
        <v>76949.759999999995</v>
      </c>
      <c r="X105" s="267">
        <f>ROUND(+V105*1.16*12*1.1,2)</f>
        <v>84644.74</v>
      </c>
      <c r="Y105" s="268" t="s">
        <v>1567</v>
      </c>
      <c r="Z105" s="167"/>
      <c r="AA105" s="3"/>
    </row>
    <row r="106" spans="1:27" s="33" customFormat="1" ht="56.25" x14ac:dyDescent="0.2">
      <c r="A106" s="41"/>
      <c r="B106" s="218">
        <v>92</v>
      </c>
      <c r="C106" s="218">
        <v>142212</v>
      </c>
      <c r="D106" s="218">
        <v>200200</v>
      </c>
      <c r="E106" s="227" t="s">
        <v>330</v>
      </c>
      <c r="F106" s="219" t="s">
        <v>874</v>
      </c>
      <c r="G106" s="228" t="s">
        <v>334</v>
      </c>
      <c r="H106" s="241" t="s">
        <v>557</v>
      </c>
      <c r="I106" s="65" t="s">
        <v>82</v>
      </c>
      <c r="J106" s="59">
        <v>13000</v>
      </c>
      <c r="K106" s="60">
        <v>7</v>
      </c>
      <c r="L106" s="60" t="s">
        <v>1012</v>
      </c>
      <c r="M106" s="103">
        <v>41635</v>
      </c>
      <c r="N106" s="61">
        <v>13993</v>
      </c>
      <c r="O106" s="62">
        <v>518.27</v>
      </c>
      <c r="P106" s="59">
        <v>13000</v>
      </c>
      <c r="Q106" s="59">
        <f t="shared" si="16"/>
        <v>25.083450711019353</v>
      </c>
      <c r="R106" s="63" t="s">
        <v>1334</v>
      </c>
      <c r="S106" s="64" t="s">
        <v>16</v>
      </c>
      <c r="T106" s="232" t="s">
        <v>13</v>
      </c>
      <c r="U106" s="222" t="s">
        <v>1554</v>
      </c>
      <c r="V106" s="223">
        <v>13000</v>
      </c>
      <c r="W106" s="223">
        <f t="shared" si="21"/>
        <v>180959.99999999997</v>
      </c>
      <c r="X106" s="223">
        <f>ROUND(+W106,2)</f>
        <v>180960</v>
      </c>
      <c r="Y106" s="224"/>
      <c r="Z106" s="167"/>
      <c r="AA106" s="3"/>
    </row>
    <row r="107" spans="1:27" s="33" customFormat="1" ht="112.5" x14ac:dyDescent="0.2">
      <c r="A107" s="41"/>
      <c r="B107" s="262">
        <v>93</v>
      </c>
      <c r="C107" s="262">
        <v>142443</v>
      </c>
      <c r="D107" s="262">
        <v>200200</v>
      </c>
      <c r="E107" s="269" t="s">
        <v>330</v>
      </c>
      <c r="F107" s="263" t="s">
        <v>875</v>
      </c>
      <c r="G107" s="271" t="s">
        <v>335</v>
      </c>
      <c r="H107" s="282" t="s">
        <v>339</v>
      </c>
      <c r="I107" s="65" t="s">
        <v>83</v>
      </c>
      <c r="J107" s="59">
        <v>10000</v>
      </c>
      <c r="K107" s="60">
        <v>32</v>
      </c>
      <c r="L107" s="60" t="s">
        <v>1013</v>
      </c>
      <c r="M107" s="60" t="s">
        <v>1014</v>
      </c>
      <c r="N107" s="61">
        <v>72568</v>
      </c>
      <c r="O107" s="62">
        <v>1565</v>
      </c>
      <c r="P107" s="59">
        <v>31829.200000000001</v>
      </c>
      <c r="Q107" s="59">
        <f t="shared" si="16"/>
        <v>20.338146964856229</v>
      </c>
      <c r="R107" s="63">
        <v>2018</v>
      </c>
      <c r="S107" s="64" t="s">
        <v>592</v>
      </c>
      <c r="T107" s="272" t="s">
        <v>13</v>
      </c>
      <c r="U107" s="272" t="s">
        <v>13</v>
      </c>
      <c r="V107" s="267">
        <v>31829.200000000001</v>
      </c>
      <c r="W107" s="267">
        <f t="shared" si="21"/>
        <v>443062.46399999992</v>
      </c>
      <c r="X107" s="267">
        <f>ROUND(+V107*1.16*12*1.1,2)</f>
        <v>487368.71</v>
      </c>
      <c r="Y107" s="268" t="s">
        <v>1567</v>
      </c>
      <c r="Z107" s="167"/>
      <c r="AA107" s="3"/>
    </row>
    <row r="108" spans="1:27" s="33" customFormat="1" ht="56.25" x14ac:dyDescent="0.2">
      <c r="A108" s="41"/>
      <c r="B108" s="290">
        <v>94</v>
      </c>
      <c r="C108" s="290">
        <v>142423</v>
      </c>
      <c r="D108" s="290">
        <v>200200</v>
      </c>
      <c r="E108" s="297" t="s">
        <v>330</v>
      </c>
      <c r="F108" s="291" t="s">
        <v>876</v>
      </c>
      <c r="G108" s="299" t="s">
        <v>336</v>
      </c>
      <c r="H108" s="299" t="s">
        <v>558</v>
      </c>
      <c r="I108" s="65" t="s">
        <v>84</v>
      </c>
      <c r="J108" s="59">
        <v>4500</v>
      </c>
      <c r="K108" s="60">
        <v>20</v>
      </c>
      <c r="L108" s="60" t="s">
        <v>1015</v>
      </c>
      <c r="M108" s="60" t="s">
        <v>1016</v>
      </c>
      <c r="N108" s="61">
        <v>9045</v>
      </c>
      <c r="O108" s="62">
        <v>335</v>
      </c>
      <c r="P108" s="59">
        <v>5315.1</v>
      </c>
      <c r="Q108" s="59">
        <f t="shared" si="16"/>
        <v>15.865970149253732</v>
      </c>
      <c r="R108" s="63">
        <v>2009</v>
      </c>
      <c r="S108" s="64">
        <v>0.05</v>
      </c>
      <c r="T108" s="300" t="s">
        <v>11</v>
      </c>
      <c r="U108" s="300" t="s">
        <v>11</v>
      </c>
      <c r="V108" s="295">
        <v>5315.1</v>
      </c>
      <c r="W108" s="295">
        <f t="shared" si="21"/>
        <v>73986.191999999995</v>
      </c>
      <c r="X108" s="295">
        <f t="shared" ref="X108:X109" si="28">ROUND(+V108*1.15*12*1.16,2)</f>
        <v>85084.12</v>
      </c>
      <c r="Y108" s="296" t="s">
        <v>1566</v>
      </c>
      <c r="Z108" s="167"/>
      <c r="AA108" s="3"/>
    </row>
    <row r="109" spans="1:27" s="3" customFormat="1" ht="75" x14ac:dyDescent="0.2">
      <c r="A109" s="40"/>
      <c r="B109" s="290">
        <v>95</v>
      </c>
      <c r="C109" s="290">
        <v>142409</v>
      </c>
      <c r="D109" s="290">
        <v>200200</v>
      </c>
      <c r="E109" s="297" t="s">
        <v>330</v>
      </c>
      <c r="F109" s="291" t="s">
        <v>877</v>
      </c>
      <c r="G109" s="299" t="s">
        <v>340</v>
      </c>
      <c r="H109" s="293" t="s">
        <v>345</v>
      </c>
      <c r="I109" s="65" t="s">
        <v>85</v>
      </c>
      <c r="J109" s="59">
        <v>8000</v>
      </c>
      <c r="K109" s="60">
        <v>33</v>
      </c>
      <c r="L109" s="60" t="s">
        <v>1017</v>
      </c>
      <c r="M109" s="60" t="s">
        <v>1018</v>
      </c>
      <c r="N109" s="61">
        <v>50030.89</v>
      </c>
      <c r="O109" s="62">
        <v>1704.63</v>
      </c>
      <c r="P109" s="59">
        <v>19500</v>
      </c>
      <c r="Q109" s="59">
        <f t="shared" si="16"/>
        <v>11.439432604142834</v>
      </c>
      <c r="R109" s="63" t="s">
        <v>1330</v>
      </c>
      <c r="S109" s="64" t="s">
        <v>16</v>
      </c>
      <c r="T109" s="300" t="s">
        <v>11</v>
      </c>
      <c r="U109" s="300" t="s">
        <v>11</v>
      </c>
      <c r="V109" s="295">
        <v>19500</v>
      </c>
      <c r="W109" s="295">
        <f t="shared" si="21"/>
        <v>271440</v>
      </c>
      <c r="X109" s="295">
        <f t="shared" si="28"/>
        <v>312156</v>
      </c>
      <c r="Y109" s="296" t="s">
        <v>1566</v>
      </c>
      <c r="Z109" s="167"/>
    </row>
    <row r="110" spans="1:27" s="33" customFormat="1" ht="75" x14ac:dyDescent="0.2">
      <c r="A110" s="41"/>
      <c r="B110" s="218">
        <v>96</v>
      </c>
      <c r="C110" s="218">
        <v>142450</v>
      </c>
      <c r="D110" s="218">
        <v>200200</v>
      </c>
      <c r="E110" s="227" t="s">
        <v>330</v>
      </c>
      <c r="F110" s="219" t="s">
        <v>878</v>
      </c>
      <c r="G110" s="228" t="s">
        <v>341</v>
      </c>
      <c r="H110" s="221" t="s">
        <v>346</v>
      </c>
      <c r="I110" s="65" t="s">
        <v>69</v>
      </c>
      <c r="J110" s="59">
        <v>1406</v>
      </c>
      <c r="K110" s="60">
        <v>25</v>
      </c>
      <c r="L110" s="63">
        <v>7051</v>
      </c>
      <c r="M110" s="60" t="s">
        <v>1379</v>
      </c>
      <c r="N110" s="61">
        <v>10432</v>
      </c>
      <c r="O110" s="62">
        <v>222</v>
      </c>
      <c r="P110" s="59">
        <v>5000</v>
      </c>
      <c r="Q110" s="59">
        <f t="shared" si="16"/>
        <v>22.522522522522522</v>
      </c>
      <c r="R110" s="63">
        <v>2018</v>
      </c>
      <c r="S110" s="64" t="s">
        <v>642</v>
      </c>
      <c r="T110" s="232" t="s">
        <v>13</v>
      </c>
      <c r="U110" s="222" t="s">
        <v>1554</v>
      </c>
      <c r="V110" s="223">
        <v>5000</v>
      </c>
      <c r="W110" s="223">
        <f t="shared" si="21"/>
        <v>69600</v>
      </c>
      <c r="X110" s="223">
        <f t="shared" ref="X110:X113" si="29">ROUND(+W110,2)</f>
        <v>69600</v>
      </c>
      <c r="Y110" s="224"/>
      <c r="Z110" s="167"/>
      <c r="AA110" s="3"/>
    </row>
    <row r="111" spans="1:27" s="33" customFormat="1" ht="56.25" x14ac:dyDescent="0.2">
      <c r="A111" s="41"/>
      <c r="B111" s="218">
        <v>97</v>
      </c>
      <c r="C111" s="218">
        <v>142470</v>
      </c>
      <c r="D111" s="218">
        <v>200200</v>
      </c>
      <c r="E111" s="227" t="s">
        <v>330</v>
      </c>
      <c r="F111" s="219" t="s">
        <v>834</v>
      </c>
      <c r="G111" s="228" t="s">
        <v>342</v>
      </c>
      <c r="H111" s="221" t="s">
        <v>347</v>
      </c>
      <c r="I111" s="65" t="s">
        <v>79</v>
      </c>
      <c r="J111" s="59">
        <v>4000</v>
      </c>
      <c r="K111" s="60">
        <v>11</v>
      </c>
      <c r="L111" s="60" t="s">
        <v>1019</v>
      </c>
      <c r="M111" s="60" t="s">
        <v>1014</v>
      </c>
      <c r="N111" s="61">
        <v>5999.65</v>
      </c>
      <c r="O111" s="62">
        <v>179.72</v>
      </c>
      <c r="P111" s="59">
        <v>5999.65</v>
      </c>
      <c r="Q111" s="59">
        <f t="shared" si="16"/>
        <v>33.383318495437344</v>
      </c>
      <c r="R111" s="63" t="s">
        <v>1334</v>
      </c>
      <c r="S111" s="64" t="s">
        <v>16</v>
      </c>
      <c r="T111" s="232" t="s">
        <v>13</v>
      </c>
      <c r="U111" s="222" t="s">
        <v>1554</v>
      </c>
      <c r="V111" s="223">
        <v>5999.65</v>
      </c>
      <c r="W111" s="223">
        <f t="shared" si="21"/>
        <v>83515.127999999997</v>
      </c>
      <c r="X111" s="223">
        <f t="shared" si="29"/>
        <v>83515.13</v>
      </c>
      <c r="Y111" s="224"/>
      <c r="Z111" s="167"/>
      <c r="AA111" s="3"/>
    </row>
    <row r="112" spans="1:27" s="33" customFormat="1" ht="56.25" x14ac:dyDescent="0.2">
      <c r="A112" s="41"/>
      <c r="B112" s="218">
        <v>98</v>
      </c>
      <c r="C112" s="218">
        <v>142486</v>
      </c>
      <c r="D112" s="218">
        <v>200200</v>
      </c>
      <c r="E112" s="227" t="s">
        <v>330</v>
      </c>
      <c r="F112" s="219" t="s">
        <v>835</v>
      </c>
      <c r="G112" s="228" t="s">
        <v>343</v>
      </c>
      <c r="H112" s="221" t="s">
        <v>348</v>
      </c>
      <c r="I112" s="65" t="s">
        <v>86</v>
      </c>
      <c r="J112" s="59">
        <v>4800</v>
      </c>
      <c r="K112" s="60">
        <v>19</v>
      </c>
      <c r="L112" s="63">
        <v>7104</v>
      </c>
      <c r="M112" s="60" t="s">
        <v>1106</v>
      </c>
      <c r="N112" s="61">
        <v>18216.09</v>
      </c>
      <c r="O112" s="62">
        <v>403.1</v>
      </c>
      <c r="P112" s="59">
        <v>7500</v>
      </c>
      <c r="Q112" s="59">
        <f t="shared" si="16"/>
        <v>18.605805011163483</v>
      </c>
      <c r="R112" s="63">
        <v>2018</v>
      </c>
      <c r="S112" s="64" t="s">
        <v>647</v>
      </c>
      <c r="T112" s="232" t="s">
        <v>13</v>
      </c>
      <c r="U112" s="222" t="s">
        <v>1554</v>
      </c>
      <c r="V112" s="223">
        <v>7500</v>
      </c>
      <c r="W112" s="223">
        <f t="shared" si="21"/>
        <v>104400</v>
      </c>
      <c r="X112" s="223">
        <f t="shared" si="29"/>
        <v>104400</v>
      </c>
      <c r="Y112" s="224"/>
      <c r="Z112" s="167"/>
      <c r="AA112" s="3"/>
    </row>
    <row r="113" spans="1:27" s="33" customFormat="1" ht="56.25" x14ac:dyDescent="0.2">
      <c r="A113" s="41"/>
      <c r="B113" s="218">
        <v>99</v>
      </c>
      <c r="C113" s="218">
        <v>142487</v>
      </c>
      <c r="D113" s="218">
        <v>200200</v>
      </c>
      <c r="E113" s="227" t="s">
        <v>330</v>
      </c>
      <c r="F113" s="219" t="s">
        <v>836</v>
      </c>
      <c r="G113" s="228" t="s">
        <v>344</v>
      </c>
      <c r="H113" s="221" t="s">
        <v>349</v>
      </c>
      <c r="I113" s="65" t="s">
        <v>87</v>
      </c>
      <c r="J113" s="59">
        <v>1300</v>
      </c>
      <c r="K113" s="60">
        <v>16</v>
      </c>
      <c r="L113" s="60" t="s">
        <v>1020</v>
      </c>
      <c r="M113" s="60" t="s">
        <v>1435</v>
      </c>
      <c r="N113" s="61">
        <v>3993</v>
      </c>
      <c r="O113" s="62">
        <v>181.5</v>
      </c>
      <c r="P113" s="59">
        <v>3993</v>
      </c>
      <c r="Q113" s="59">
        <f t="shared" si="16"/>
        <v>22</v>
      </c>
      <c r="R113" s="63">
        <v>2018</v>
      </c>
      <c r="S113" s="64" t="s">
        <v>646</v>
      </c>
      <c r="T113" s="232" t="s">
        <v>11</v>
      </c>
      <c r="U113" s="222" t="s">
        <v>1554</v>
      </c>
      <c r="V113" s="223">
        <f>3657/1.16</f>
        <v>3152.5862068965521</v>
      </c>
      <c r="W113" s="223">
        <f t="shared" si="21"/>
        <v>43884</v>
      </c>
      <c r="X113" s="223">
        <f t="shared" si="29"/>
        <v>43884</v>
      </c>
      <c r="Y113" s="224"/>
      <c r="Z113" s="167"/>
      <c r="AA113" s="3"/>
    </row>
    <row r="114" spans="1:27" s="33" customFormat="1" ht="56.25" x14ac:dyDescent="0.2">
      <c r="A114" s="41"/>
      <c r="B114" s="290">
        <v>100</v>
      </c>
      <c r="C114" s="290">
        <v>142419</v>
      </c>
      <c r="D114" s="290">
        <v>200200</v>
      </c>
      <c r="E114" s="297" t="s">
        <v>330</v>
      </c>
      <c r="F114" s="291" t="s">
        <v>837</v>
      </c>
      <c r="G114" s="299" t="s">
        <v>350</v>
      </c>
      <c r="H114" s="293" t="s">
        <v>354</v>
      </c>
      <c r="I114" s="65" t="s">
        <v>88</v>
      </c>
      <c r="J114" s="59">
        <v>12000</v>
      </c>
      <c r="K114" s="60">
        <v>13</v>
      </c>
      <c r="L114" s="60" t="s">
        <v>1021</v>
      </c>
      <c r="M114" s="60" t="s">
        <v>1436</v>
      </c>
      <c r="N114" s="61">
        <v>13158</v>
      </c>
      <c r="O114" s="62">
        <v>386.99</v>
      </c>
      <c r="P114" s="59">
        <v>15000</v>
      </c>
      <c r="Q114" s="59">
        <f t="shared" si="16"/>
        <v>38.760691490736193</v>
      </c>
      <c r="R114" s="63" t="s">
        <v>1334</v>
      </c>
      <c r="S114" s="64">
        <v>20.18</v>
      </c>
      <c r="T114" s="300" t="s">
        <v>11</v>
      </c>
      <c r="U114" s="300" t="s">
        <v>11</v>
      </c>
      <c r="V114" s="295">
        <v>15000</v>
      </c>
      <c r="W114" s="295">
        <f t="shared" si="21"/>
        <v>208800</v>
      </c>
      <c r="X114" s="295">
        <f>ROUND(+V114*1.15*12*1.16,2)</f>
        <v>240120</v>
      </c>
      <c r="Y114" s="296" t="s">
        <v>1566</v>
      </c>
      <c r="Z114" s="167"/>
      <c r="AA114" s="3"/>
    </row>
    <row r="115" spans="1:27" s="33" customFormat="1" ht="75" x14ac:dyDescent="0.2">
      <c r="A115" s="41"/>
      <c r="B115" s="218">
        <v>101</v>
      </c>
      <c r="C115" s="218">
        <v>142420</v>
      </c>
      <c r="D115" s="218">
        <v>200200</v>
      </c>
      <c r="E115" s="227" t="s">
        <v>330</v>
      </c>
      <c r="F115" s="219" t="s">
        <v>838</v>
      </c>
      <c r="G115" s="228" t="s">
        <v>351</v>
      </c>
      <c r="H115" s="221" t="s">
        <v>355</v>
      </c>
      <c r="I115" s="104" t="s">
        <v>652</v>
      </c>
      <c r="J115" s="59">
        <v>55000</v>
      </c>
      <c r="K115" s="60">
        <v>3</v>
      </c>
      <c r="L115" s="63">
        <v>7268</v>
      </c>
      <c r="M115" s="60" t="s">
        <v>1022</v>
      </c>
      <c r="N115" s="61">
        <v>59022.38</v>
      </c>
      <c r="O115" s="62">
        <v>655.95</v>
      </c>
      <c r="P115" s="59">
        <v>55000</v>
      </c>
      <c r="Q115" s="59">
        <f t="shared" si="16"/>
        <v>83.847854257184224</v>
      </c>
      <c r="R115" s="63" t="s">
        <v>16</v>
      </c>
      <c r="S115" s="64" t="s">
        <v>16</v>
      </c>
      <c r="T115" s="232" t="s">
        <v>13</v>
      </c>
      <c r="U115" s="222" t="s">
        <v>1554</v>
      </c>
      <c r="V115" s="223">
        <v>55000</v>
      </c>
      <c r="W115" s="223">
        <f t="shared" si="21"/>
        <v>765599.99999999988</v>
      </c>
      <c r="X115" s="223">
        <f>ROUND(+W115,2)</f>
        <v>765600</v>
      </c>
      <c r="Y115" s="224"/>
      <c r="Z115" s="167"/>
      <c r="AA115" s="3"/>
    </row>
    <row r="116" spans="1:27" s="33" customFormat="1" ht="56.25" x14ac:dyDescent="0.2">
      <c r="A116" s="41"/>
      <c r="B116" s="290">
        <v>102</v>
      </c>
      <c r="C116" s="290">
        <v>142488</v>
      </c>
      <c r="D116" s="290">
        <v>200200</v>
      </c>
      <c r="E116" s="297" t="s">
        <v>330</v>
      </c>
      <c r="F116" s="291" t="s">
        <v>839</v>
      </c>
      <c r="G116" s="299" t="s">
        <v>352</v>
      </c>
      <c r="H116" s="293" t="s">
        <v>356</v>
      </c>
      <c r="I116" s="65" t="s">
        <v>89</v>
      </c>
      <c r="J116" s="59">
        <v>500</v>
      </c>
      <c r="K116" s="60">
        <v>30</v>
      </c>
      <c r="L116" s="60" t="s">
        <v>1023</v>
      </c>
      <c r="M116" s="60" t="s">
        <v>1010</v>
      </c>
      <c r="N116" s="61">
        <v>6419</v>
      </c>
      <c r="O116" s="62">
        <v>256.77</v>
      </c>
      <c r="P116" s="59">
        <v>4200</v>
      </c>
      <c r="Q116" s="59">
        <f t="shared" si="16"/>
        <v>16.357051057366515</v>
      </c>
      <c r="R116" s="63">
        <v>2008</v>
      </c>
      <c r="S116" s="64">
        <v>0.05</v>
      </c>
      <c r="T116" s="300" t="s">
        <v>11</v>
      </c>
      <c r="U116" s="300" t="s">
        <v>11</v>
      </c>
      <c r="V116" s="295">
        <v>4200</v>
      </c>
      <c r="W116" s="295">
        <f t="shared" si="21"/>
        <v>58464</v>
      </c>
      <c r="X116" s="295">
        <f t="shared" ref="X116:X119" si="30">ROUND(+V116*1.15*12*1.16,2)</f>
        <v>67233.600000000006</v>
      </c>
      <c r="Y116" s="296" t="s">
        <v>1566</v>
      </c>
      <c r="Z116" s="167"/>
      <c r="AA116" s="3"/>
    </row>
    <row r="117" spans="1:27" s="33" customFormat="1" ht="56.25" x14ac:dyDescent="0.2">
      <c r="A117" s="41"/>
      <c r="B117" s="290">
        <v>103</v>
      </c>
      <c r="C117" s="290">
        <v>142477</v>
      </c>
      <c r="D117" s="290">
        <v>200201</v>
      </c>
      <c r="E117" s="297" t="s">
        <v>330</v>
      </c>
      <c r="F117" s="291" t="s">
        <v>840</v>
      </c>
      <c r="G117" s="299" t="s">
        <v>353</v>
      </c>
      <c r="H117" s="293" t="s">
        <v>357</v>
      </c>
      <c r="I117" s="65" t="s">
        <v>90</v>
      </c>
      <c r="J117" s="59">
        <v>850</v>
      </c>
      <c r="K117" s="60">
        <v>23</v>
      </c>
      <c r="L117" s="63">
        <v>7052</v>
      </c>
      <c r="M117" s="60" t="s">
        <v>1379</v>
      </c>
      <c r="N117" s="61">
        <v>4004</v>
      </c>
      <c r="O117" s="62">
        <v>115</v>
      </c>
      <c r="P117" s="59">
        <v>2800</v>
      </c>
      <c r="Q117" s="59">
        <f t="shared" si="16"/>
        <v>24.347826086956523</v>
      </c>
      <c r="R117" s="63">
        <v>2018</v>
      </c>
      <c r="S117" s="64" t="s">
        <v>641</v>
      </c>
      <c r="T117" s="300" t="s">
        <v>13</v>
      </c>
      <c r="U117" s="300" t="s">
        <v>11</v>
      </c>
      <c r="V117" s="295">
        <v>2800</v>
      </c>
      <c r="W117" s="295">
        <f t="shared" si="21"/>
        <v>38976</v>
      </c>
      <c r="X117" s="295">
        <f t="shared" si="30"/>
        <v>44822.400000000001</v>
      </c>
      <c r="Y117" s="296" t="s">
        <v>1566</v>
      </c>
      <c r="Z117" s="167"/>
      <c r="AA117" s="3"/>
    </row>
    <row r="118" spans="1:27" s="33" customFormat="1" ht="60.75" x14ac:dyDescent="0.2">
      <c r="A118" s="41"/>
      <c r="B118" s="290">
        <v>104</v>
      </c>
      <c r="C118" s="290">
        <v>142445</v>
      </c>
      <c r="D118" s="290">
        <v>200200</v>
      </c>
      <c r="E118" s="297" t="s">
        <v>330</v>
      </c>
      <c r="F118" s="291" t="s">
        <v>841</v>
      </c>
      <c r="G118" s="299" t="s">
        <v>358</v>
      </c>
      <c r="H118" s="293" t="s">
        <v>360</v>
      </c>
      <c r="I118" s="65" t="s">
        <v>91</v>
      </c>
      <c r="J118" s="59">
        <v>1100</v>
      </c>
      <c r="K118" s="60">
        <v>21</v>
      </c>
      <c r="L118" s="60" t="s">
        <v>1024</v>
      </c>
      <c r="M118" s="60" t="s">
        <v>1025</v>
      </c>
      <c r="N118" s="61">
        <v>1569.75</v>
      </c>
      <c r="O118" s="62">
        <v>136.5</v>
      </c>
      <c r="P118" s="59">
        <v>1273.3499999999999</v>
      </c>
      <c r="Q118" s="59">
        <f t="shared" si="16"/>
        <v>9.3285714285714274</v>
      </c>
      <c r="R118" s="63" t="s">
        <v>1330</v>
      </c>
      <c r="S118" s="64" t="s">
        <v>16</v>
      </c>
      <c r="T118" s="300" t="s">
        <v>11</v>
      </c>
      <c r="U118" s="300" t="s">
        <v>11</v>
      </c>
      <c r="V118" s="295">
        <f>1478/1.16</f>
        <v>1274.1379310344828</v>
      </c>
      <c r="W118" s="295">
        <f t="shared" si="21"/>
        <v>17736</v>
      </c>
      <c r="X118" s="295">
        <f t="shared" si="30"/>
        <v>20396.400000000001</v>
      </c>
      <c r="Y118" s="296" t="s">
        <v>1566</v>
      </c>
      <c r="Z118" s="167"/>
      <c r="AA118" s="3"/>
    </row>
    <row r="119" spans="1:27" s="33" customFormat="1" ht="60.75" x14ac:dyDescent="0.2">
      <c r="A119" s="41"/>
      <c r="B119" s="290">
        <v>105</v>
      </c>
      <c r="C119" s="290">
        <v>140102</v>
      </c>
      <c r="D119" s="290">
        <v>200201</v>
      </c>
      <c r="E119" s="297" t="s">
        <v>330</v>
      </c>
      <c r="F119" s="291" t="s">
        <v>842</v>
      </c>
      <c r="G119" s="299" t="s">
        <v>359</v>
      </c>
      <c r="H119" s="293" t="s">
        <v>361</v>
      </c>
      <c r="I119" s="65" t="s">
        <v>92</v>
      </c>
      <c r="J119" s="59">
        <v>650</v>
      </c>
      <c r="K119" s="60">
        <v>26</v>
      </c>
      <c r="L119" s="60" t="s">
        <v>1026</v>
      </c>
      <c r="M119" s="60" t="s">
        <v>1027</v>
      </c>
      <c r="N119" s="61">
        <v>1005.75</v>
      </c>
      <c r="O119" s="62">
        <v>149</v>
      </c>
      <c r="P119" s="59">
        <v>787.4</v>
      </c>
      <c r="Q119" s="59">
        <f t="shared" si="16"/>
        <v>5.284563758389262</v>
      </c>
      <c r="R119" s="63" t="s">
        <v>1330</v>
      </c>
      <c r="S119" s="64" t="s">
        <v>16</v>
      </c>
      <c r="T119" s="300" t="s">
        <v>11</v>
      </c>
      <c r="U119" s="300" t="s">
        <v>11</v>
      </c>
      <c r="V119" s="295">
        <f>13392/1.16</f>
        <v>11544.827586206897</v>
      </c>
      <c r="W119" s="295">
        <f t="shared" si="21"/>
        <v>160704</v>
      </c>
      <c r="X119" s="295">
        <f t="shared" si="30"/>
        <v>184809.60000000001</v>
      </c>
      <c r="Y119" s="296" t="s">
        <v>1566</v>
      </c>
      <c r="Z119" s="167"/>
      <c r="AA119" s="3"/>
    </row>
    <row r="120" spans="1:27" s="33" customFormat="1" ht="75" x14ac:dyDescent="0.2">
      <c r="A120" s="41"/>
      <c r="B120" s="218">
        <v>106</v>
      </c>
      <c r="C120" s="218">
        <v>142446</v>
      </c>
      <c r="D120" s="218">
        <v>200200</v>
      </c>
      <c r="E120" s="227" t="s">
        <v>330</v>
      </c>
      <c r="F120" s="219" t="s">
        <v>843</v>
      </c>
      <c r="G120" s="228" t="s">
        <v>576</v>
      </c>
      <c r="H120" s="221" t="s">
        <v>612</v>
      </c>
      <c r="I120" s="105">
        <v>43009</v>
      </c>
      <c r="J120" s="106">
        <v>5100</v>
      </c>
      <c r="K120" s="60">
        <v>4</v>
      </c>
      <c r="L120" s="63">
        <v>5695</v>
      </c>
      <c r="M120" s="60" t="s">
        <v>1029</v>
      </c>
      <c r="N120" s="61">
        <v>6200</v>
      </c>
      <c r="O120" s="107">
        <v>190</v>
      </c>
      <c r="P120" s="59">
        <v>5100</v>
      </c>
      <c r="Q120" s="59">
        <f t="shared" si="16"/>
        <v>26.842105263157894</v>
      </c>
      <c r="R120" s="63" t="s">
        <v>16</v>
      </c>
      <c r="S120" s="64" t="s">
        <v>16</v>
      </c>
      <c r="T120" s="232" t="s">
        <v>13</v>
      </c>
      <c r="U120" s="222" t="s">
        <v>1554</v>
      </c>
      <c r="V120" s="223">
        <v>5100</v>
      </c>
      <c r="W120" s="223">
        <f t="shared" si="21"/>
        <v>70992</v>
      </c>
      <c r="X120" s="223">
        <f>ROUND(+W120,2)</f>
        <v>70992</v>
      </c>
      <c r="Y120" s="224"/>
      <c r="Z120" s="167"/>
      <c r="AA120" s="3"/>
    </row>
    <row r="121" spans="1:27" s="33" customFormat="1" ht="75" x14ac:dyDescent="0.2">
      <c r="A121" s="41"/>
      <c r="B121" s="262">
        <v>107</v>
      </c>
      <c r="C121" s="262">
        <v>142474</v>
      </c>
      <c r="D121" s="262">
        <v>200200</v>
      </c>
      <c r="E121" s="269" t="s">
        <v>330</v>
      </c>
      <c r="F121" s="263" t="s">
        <v>844</v>
      </c>
      <c r="G121" s="271" t="s">
        <v>577</v>
      </c>
      <c r="H121" s="275" t="s">
        <v>363</v>
      </c>
      <c r="I121" s="65" t="s">
        <v>47</v>
      </c>
      <c r="J121" s="59">
        <v>2394</v>
      </c>
      <c r="K121" s="60">
        <v>19</v>
      </c>
      <c r="L121" s="63">
        <v>7068</v>
      </c>
      <c r="M121" s="60" t="s">
        <v>1437</v>
      </c>
      <c r="N121" s="61">
        <v>7169</v>
      </c>
      <c r="O121" s="62">
        <v>199.52</v>
      </c>
      <c r="P121" s="59">
        <v>3500</v>
      </c>
      <c r="Q121" s="59">
        <f t="shared" si="16"/>
        <v>17.542101042502004</v>
      </c>
      <c r="R121" s="63">
        <v>2018</v>
      </c>
      <c r="S121" s="64" t="s">
        <v>639</v>
      </c>
      <c r="T121" s="272" t="s">
        <v>13</v>
      </c>
      <c r="U121" s="272" t="s">
        <v>13</v>
      </c>
      <c r="V121" s="267">
        <v>3500</v>
      </c>
      <c r="W121" s="267">
        <f t="shared" si="21"/>
        <v>48719.999999999993</v>
      </c>
      <c r="X121" s="267">
        <f>ROUND(+V121*1.16*12*1.1,2)</f>
        <v>53592</v>
      </c>
      <c r="Y121" s="268" t="s">
        <v>1567</v>
      </c>
      <c r="Z121" s="167"/>
      <c r="AA121" s="3"/>
    </row>
    <row r="122" spans="1:27" s="33" customFormat="1" ht="60.75" x14ac:dyDescent="0.2">
      <c r="A122" s="41"/>
      <c r="B122" s="290">
        <v>108</v>
      </c>
      <c r="C122" s="290">
        <v>142455</v>
      </c>
      <c r="D122" s="290">
        <v>200201</v>
      </c>
      <c r="E122" s="297" t="s">
        <v>330</v>
      </c>
      <c r="F122" s="291" t="s">
        <v>845</v>
      </c>
      <c r="G122" s="299" t="s">
        <v>578</v>
      </c>
      <c r="H122" s="293" t="s">
        <v>362</v>
      </c>
      <c r="I122" s="65" t="s">
        <v>93</v>
      </c>
      <c r="J122" s="59">
        <v>380</v>
      </c>
      <c r="K122" s="60">
        <v>29</v>
      </c>
      <c r="L122" s="60" t="s">
        <v>1030</v>
      </c>
      <c r="M122" s="60" t="s">
        <v>1031</v>
      </c>
      <c r="N122" s="61">
        <v>2782</v>
      </c>
      <c r="O122" s="62">
        <v>107</v>
      </c>
      <c r="P122" s="59">
        <v>2247</v>
      </c>
      <c r="Q122" s="59">
        <f t="shared" si="16"/>
        <v>21</v>
      </c>
      <c r="R122" s="63" t="s">
        <v>1330</v>
      </c>
      <c r="S122" s="64" t="s">
        <v>16</v>
      </c>
      <c r="T122" s="300" t="s">
        <v>11</v>
      </c>
      <c r="U122" s="300" t="s">
        <v>11</v>
      </c>
      <c r="V122" s="295">
        <v>2247</v>
      </c>
      <c r="W122" s="295">
        <f t="shared" si="21"/>
        <v>31278.239999999998</v>
      </c>
      <c r="X122" s="295">
        <f>ROUND(+V122*1.15*12*1.16,2)</f>
        <v>35969.980000000003</v>
      </c>
      <c r="Y122" s="296" t="s">
        <v>1566</v>
      </c>
      <c r="Z122" s="167"/>
      <c r="AA122" s="3"/>
    </row>
    <row r="123" spans="1:27" s="33" customFormat="1" ht="93.75" x14ac:dyDescent="0.2">
      <c r="A123" s="41"/>
      <c r="B123" s="218">
        <v>109</v>
      </c>
      <c r="C123" s="218">
        <v>142418</v>
      </c>
      <c r="D123" s="218">
        <v>200200</v>
      </c>
      <c r="E123" s="227" t="s">
        <v>330</v>
      </c>
      <c r="F123" s="219" t="s">
        <v>846</v>
      </c>
      <c r="G123" s="228" t="s">
        <v>579</v>
      </c>
      <c r="H123" s="242" t="s">
        <v>1378</v>
      </c>
      <c r="I123" s="65" t="s">
        <v>94</v>
      </c>
      <c r="J123" s="59">
        <v>1700</v>
      </c>
      <c r="K123" s="60">
        <v>18</v>
      </c>
      <c r="L123" s="60" t="s">
        <v>1032</v>
      </c>
      <c r="M123" s="60" t="s">
        <v>1033</v>
      </c>
      <c r="N123" s="61">
        <v>5022</v>
      </c>
      <c r="O123" s="62">
        <v>259.56</v>
      </c>
      <c r="P123" s="59">
        <v>3000</v>
      </c>
      <c r="Q123" s="59">
        <f t="shared" si="16"/>
        <v>11.55802126675913</v>
      </c>
      <c r="R123" s="63">
        <v>2018</v>
      </c>
      <c r="S123" s="64" t="s">
        <v>619</v>
      </c>
      <c r="T123" s="232" t="s">
        <v>13</v>
      </c>
      <c r="U123" s="222" t="s">
        <v>1554</v>
      </c>
      <c r="V123" s="223">
        <v>3000</v>
      </c>
      <c r="W123" s="223">
        <f t="shared" si="21"/>
        <v>41759.999999999993</v>
      </c>
      <c r="X123" s="223">
        <f>ROUND(+W123,2)</f>
        <v>41760</v>
      </c>
      <c r="Y123" s="224"/>
      <c r="Z123" s="167"/>
      <c r="AA123" s="3"/>
    </row>
    <row r="124" spans="1:27" s="33" customFormat="1" ht="56.25" x14ac:dyDescent="0.2">
      <c r="A124" s="41"/>
      <c r="B124" s="290">
        <v>110</v>
      </c>
      <c r="C124" s="290">
        <v>142448</v>
      </c>
      <c r="D124" s="290">
        <v>200200</v>
      </c>
      <c r="E124" s="297" t="s">
        <v>330</v>
      </c>
      <c r="F124" s="291" t="s">
        <v>847</v>
      </c>
      <c r="G124" s="299" t="s">
        <v>580</v>
      </c>
      <c r="H124" s="293" t="s">
        <v>364</v>
      </c>
      <c r="I124" s="65" t="s">
        <v>95</v>
      </c>
      <c r="J124" s="59">
        <v>225</v>
      </c>
      <c r="K124" s="60">
        <v>29</v>
      </c>
      <c r="L124" s="60" t="s">
        <v>1034</v>
      </c>
      <c r="M124" s="60" t="s">
        <v>1035</v>
      </c>
      <c r="N124" s="61">
        <v>1425</v>
      </c>
      <c r="O124" s="62">
        <v>123.83</v>
      </c>
      <c r="P124" s="59">
        <v>960.3</v>
      </c>
      <c r="Q124" s="59">
        <f t="shared" si="16"/>
        <v>7.7549866752806267</v>
      </c>
      <c r="R124" s="63">
        <v>2009</v>
      </c>
      <c r="S124" s="64">
        <v>0.09</v>
      </c>
      <c r="T124" s="300" t="s">
        <v>13</v>
      </c>
      <c r="U124" s="300" t="s">
        <v>11</v>
      </c>
      <c r="V124" s="295">
        <v>960.3</v>
      </c>
      <c r="W124" s="295">
        <f t="shared" si="21"/>
        <v>13367.375999999998</v>
      </c>
      <c r="X124" s="295">
        <f t="shared" ref="X124:X125" si="31">ROUND(+V124*1.15*12*1.16,2)</f>
        <v>15372.48</v>
      </c>
      <c r="Y124" s="296" t="s">
        <v>1566</v>
      </c>
      <c r="Z124" s="167"/>
      <c r="AA124" s="3"/>
    </row>
    <row r="125" spans="1:27" s="33" customFormat="1" ht="75" x14ac:dyDescent="0.2">
      <c r="A125" s="41"/>
      <c r="B125" s="290">
        <v>111</v>
      </c>
      <c r="C125" s="290">
        <v>142491</v>
      </c>
      <c r="D125" s="290">
        <v>200200</v>
      </c>
      <c r="E125" s="297" t="s">
        <v>330</v>
      </c>
      <c r="F125" s="291" t="s">
        <v>848</v>
      </c>
      <c r="G125" s="299" t="s">
        <v>581</v>
      </c>
      <c r="H125" s="293" t="s">
        <v>1377</v>
      </c>
      <c r="I125" s="65" t="s">
        <v>14</v>
      </c>
      <c r="J125" s="59">
        <v>650</v>
      </c>
      <c r="K125" s="60">
        <v>27</v>
      </c>
      <c r="L125" s="63">
        <v>7135</v>
      </c>
      <c r="M125" s="60" t="s">
        <v>1036</v>
      </c>
      <c r="N125" s="61">
        <v>9910</v>
      </c>
      <c r="O125" s="62">
        <v>190</v>
      </c>
      <c r="P125" s="59">
        <v>4256</v>
      </c>
      <c r="Q125" s="59">
        <f t="shared" si="16"/>
        <v>22.4</v>
      </c>
      <c r="R125" s="63">
        <v>2018</v>
      </c>
      <c r="S125" s="64">
        <v>0.6</v>
      </c>
      <c r="T125" s="300" t="s">
        <v>13</v>
      </c>
      <c r="U125" s="300" t="s">
        <v>11</v>
      </c>
      <c r="V125" s="295">
        <v>4256</v>
      </c>
      <c r="W125" s="295">
        <f t="shared" si="21"/>
        <v>59243.520000000004</v>
      </c>
      <c r="X125" s="295">
        <f t="shared" si="31"/>
        <v>68130.05</v>
      </c>
      <c r="Y125" s="296" t="s">
        <v>1566</v>
      </c>
      <c r="Z125" s="167"/>
      <c r="AA125" s="3"/>
    </row>
    <row r="126" spans="1:27" s="33" customFormat="1" ht="75" x14ac:dyDescent="0.2">
      <c r="A126" s="41"/>
      <c r="B126" s="218">
        <v>112</v>
      </c>
      <c r="C126" s="218">
        <v>142490</v>
      </c>
      <c r="D126" s="218">
        <v>200200</v>
      </c>
      <c r="E126" s="227" t="s">
        <v>330</v>
      </c>
      <c r="F126" s="219" t="s">
        <v>849</v>
      </c>
      <c r="G126" s="228" t="s">
        <v>582</v>
      </c>
      <c r="H126" s="221" t="s">
        <v>365</v>
      </c>
      <c r="I126" s="65" t="s">
        <v>88</v>
      </c>
      <c r="J126" s="59">
        <v>7000</v>
      </c>
      <c r="K126" s="60">
        <v>13</v>
      </c>
      <c r="L126" s="63">
        <v>7079</v>
      </c>
      <c r="M126" s="60" t="s">
        <v>1037</v>
      </c>
      <c r="N126" s="61">
        <v>13529</v>
      </c>
      <c r="O126" s="62">
        <v>197.5</v>
      </c>
      <c r="P126" s="59">
        <v>8400</v>
      </c>
      <c r="Q126" s="59">
        <f t="shared" si="16"/>
        <v>42.531645569620252</v>
      </c>
      <c r="R126" s="63" t="s">
        <v>1334</v>
      </c>
      <c r="S126" s="64">
        <v>0.2</v>
      </c>
      <c r="T126" s="232" t="s">
        <v>13</v>
      </c>
      <c r="U126" s="222" t="s">
        <v>1554</v>
      </c>
      <c r="V126" s="223">
        <v>8400</v>
      </c>
      <c r="W126" s="223">
        <f t="shared" si="21"/>
        <v>116928</v>
      </c>
      <c r="X126" s="223">
        <f t="shared" ref="X126:X128" si="32">ROUND(+W126,2)</f>
        <v>116928</v>
      </c>
      <c r="Y126" s="224"/>
      <c r="Z126" s="167"/>
      <c r="AA126" s="3"/>
    </row>
    <row r="127" spans="1:27" s="33" customFormat="1" ht="75" x14ac:dyDescent="0.2">
      <c r="A127" s="41"/>
      <c r="B127" s="218">
        <v>113</v>
      </c>
      <c r="C127" s="218">
        <v>140501</v>
      </c>
      <c r="D127" s="218">
        <v>200217</v>
      </c>
      <c r="E127" s="227" t="s">
        <v>330</v>
      </c>
      <c r="F127" s="219" t="s">
        <v>850</v>
      </c>
      <c r="G127" s="228" t="s">
        <v>366</v>
      </c>
      <c r="H127" s="221" t="s">
        <v>368</v>
      </c>
      <c r="I127" s="65" t="s">
        <v>96</v>
      </c>
      <c r="J127" s="59">
        <v>4000</v>
      </c>
      <c r="K127" s="60">
        <v>50</v>
      </c>
      <c r="L127" s="60" t="s">
        <v>1038</v>
      </c>
      <c r="M127" s="60" t="s">
        <v>1039</v>
      </c>
      <c r="N127" s="61">
        <v>12183</v>
      </c>
      <c r="O127" s="62">
        <v>393</v>
      </c>
      <c r="P127" s="59">
        <v>9061.5</v>
      </c>
      <c r="Q127" s="59">
        <f t="shared" si="16"/>
        <v>23.057251908396946</v>
      </c>
      <c r="R127" s="63">
        <v>2008</v>
      </c>
      <c r="S127" s="64">
        <v>0.05</v>
      </c>
      <c r="T127" s="232" t="s">
        <v>13</v>
      </c>
      <c r="U127" s="222" t="s">
        <v>1554</v>
      </c>
      <c r="V127" s="223">
        <v>9061.5</v>
      </c>
      <c r="W127" s="223">
        <f t="shared" si="21"/>
        <v>126136.08</v>
      </c>
      <c r="X127" s="223">
        <f t="shared" si="32"/>
        <v>126136.08</v>
      </c>
      <c r="Y127" s="224"/>
      <c r="Z127" s="167"/>
      <c r="AA127" s="3"/>
    </row>
    <row r="128" spans="1:27" s="33" customFormat="1" ht="56.25" x14ac:dyDescent="0.2">
      <c r="A128" s="41"/>
      <c r="B128" s="218">
        <v>114</v>
      </c>
      <c r="C128" s="218">
        <v>142601</v>
      </c>
      <c r="D128" s="218">
        <v>200200</v>
      </c>
      <c r="E128" s="227" t="s">
        <v>330</v>
      </c>
      <c r="F128" s="219" t="s">
        <v>851</v>
      </c>
      <c r="G128" s="228" t="s">
        <v>367</v>
      </c>
      <c r="H128" s="221" t="s">
        <v>369</v>
      </c>
      <c r="I128" s="65" t="s">
        <v>97</v>
      </c>
      <c r="J128" s="59">
        <v>7.5</v>
      </c>
      <c r="K128" s="60">
        <v>45</v>
      </c>
      <c r="L128" s="63">
        <v>7053</v>
      </c>
      <c r="M128" s="60" t="s">
        <v>1379</v>
      </c>
      <c r="N128" s="61">
        <v>93615</v>
      </c>
      <c r="O128" s="62">
        <v>990.53</v>
      </c>
      <c r="P128" s="59">
        <v>23000</v>
      </c>
      <c r="Q128" s="59">
        <f t="shared" si="16"/>
        <v>23.21989238084662</v>
      </c>
      <c r="R128" s="63">
        <v>2018</v>
      </c>
      <c r="S128" s="64" t="s">
        <v>640</v>
      </c>
      <c r="T128" s="232" t="s">
        <v>13</v>
      </c>
      <c r="U128" s="222" t="s">
        <v>1554</v>
      </c>
      <c r="V128" s="223">
        <f>26680/1.16</f>
        <v>23000</v>
      </c>
      <c r="W128" s="223">
        <f t="shared" si="21"/>
        <v>320159.99999999994</v>
      </c>
      <c r="X128" s="223">
        <f t="shared" si="32"/>
        <v>320160</v>
      </c>
      <c r="Y128" s="224"/>
      <c r="Z128" s="167"/>
      <c r="AA128" s="3"/>
    </row>
    <row r="129" spans="1:27" s="33" customFormat="1" ht="56.25" x14ac:dyDescent="0.2">
      <c r="A129" s="41"/>
      <c r="B129" s="290">
        <v>115</v>
      </c>
      <c r="C129" s="290">
        <v>149104</v>
      </c>
      <c r="D129" s="290">
        <v>900110</v>
      </c>
      <c r="E129" s="297" t="s">
        <v>330</v>
      </c>
      <c r="F129" s="291" t="s">
        <v>852</v>
      </c>
      <c r="G129" s="299" t="s">
        <v>227</v>
      </c>
      <c r="H129" s="293" t="s">
        <v>370</v>
      </c>
      <c r="I129" s="65" t="s">
        <v>98</v>
      </c>
      <c r="J129" s="59">
        <v>4000</v>
      </c>
      <c r="K129" s="60">
        <v>31</v>
      </c>
      <c r="L129" s="60" t="s">
        <v>1380</v>
      </c>
      <c r="M129" s="60" t="s">
        <v>1028</v>
      </c>
      <c r="N129" s="61">
        <v>12884</v>
      </c>
      <c r="O129" s="62">
        <v>585.62</v>
      </c>
      <c r="P129" s="59">
        <v>8730.2999999999993</v>
      </c>
      <c r="Q129" s="59">
        <f t="shared" si="16"/>
        <v>14.907790034493356</v>
      </c>
      <c r="R129" s="63">
        <v>2008</v>
      </c>
      <c r="S129" s="64">
        <v>0.05</v>
      </c>
      <c r="T129" s="300" t="s">
        <v>11</v>
      </c>
      <c r="U129" s="300" t="s">
        <v>11</v>
      </c>
      <c r="V129" s="295">
        <f>12140.91/1.16</f>
        <v>10466.301724137931</v>
      </c>
      <c r="W129" s="295">
        <f t="shared" si="21"/>
        <v>145690.91999999998</v>
      </c>
      <c r="X129" s="295">
        <f t="shared" ref="X129:X131" si="33">ROUND(+V129*1.15*12*1.16,2)</f>
        <v>167544.56</v>
      </c>
      <c r="Y129" s="296" t="s">
        <v>1566</v>
      </c>
      <c r="Z129" s="167"/>
      <c r="AA129" s="3"/>
    </row>
    <row r="130" spans="1:27" s="33" customFormat="1" ht="75" x14ac:dyDescent="0.2">
      <c r="A130" s="41"/>
      <c r="B130" s="290">
        <v>116</v>
      </c>
      <c r="C130" s="290">
        <v>149106</v>
      </c>
      <c r="D130" s="290">
        <v>900110</v>
      </c>
      <c r="E130" s="297" t="s">
        <v>330</v>
      </c>
      <c r="F130" s="291" t="s">
        <v>853</v>
      </c>
      <c r="G130" s="299" t="s">
        <v>227</v>
      </c>
      <c r="H130" s="293" t="s">
        <v>371</v>
      </c>
      <c r="I130" s="65" t="s">
        <v>99</v>
      </c>
      <c r="J130" s="59">
        <v>110000</v>
      </c>
      <c r="K130" s="60">
        <v>28</v>
      </c>
      <c r="L130" s="60" t="s">
        <v>1040</v>
      </c>
      <c r="M130" s="60" t="s">
        <v>1039</v>
      </c>
      <c r="N130" s="61">
        <v>244688</v>
      </c>
      <c r="O130" s="62">
        <v>5968</v>
      </c>
      <c r="P130" s="59">
        <v>190350</v>
      </c>
      <c r="Q130" s="59">
        <f t="shared" si="16"/>
        <v>31.895107238605899</v>
      </c>
      <c r="R130" s="63">
        <v>2009</v>
      </c>
      <c r="S130" s="64">
        <v>0.02</v>
      </c>
      <c r="T130" s="300" t="s">
        <v>11</v>
      </c>
      <c r="U130" s="300" t="s">
        <v>11</v>
      </c>
      <c r="V130" s="295">
        <v>190350</v>
      </c>
      <c r="W130" s="295">
        <f t="shared" si="21"/>
        <v>2649671.9999999995</v>
      </c>
      <c r="X130" s="295">
        <f t="shared" si="33"/>
        <v>3047122.8</v>
      </c>
      <c r="Y130" s="296" t="s">
        <v>1566</v>
      </c>
      <c r="Z130" s="167"/>
      <c r="AA130" s="3"/>
    </row>
    <row r="131" spans="1:27" s="33" customFormat="1" ht="56.25" x14ac:dyDescent="0.2">
      <c r="A131" s="41"/>
      <c r="B131" s="290">
        <v>117</v>
      </c>
      <c r="C131" s="290">
        <v>140102</v>
      </c>
      <c r="D131" s="290">
        <v>200200</v>
      </c>
      <c r="E131" s="297" t="s">
        <v>330</v>
      </c>
      <c r="F131" s="291" t="s">
        <v>854</v>
      </c>
      <c r="G131" s="299" t="s">
        <v>596</v>
      </c>
      <c r="H131" s="305" t="s">
        <v>372</v>
      </c>
      <c r="I131" s="65" t="s">
        <v>94</v>
      </c>
      <c r="J131" s="59">
        <v>10000</v>
      </c>
      <c r="K131" s="60">
        <v>28</v>
      </c>
      <c r="L131" s="60" t="s">
        <v>1381</v>
      </c>
      <c r="M131" s="60" t="s">
        <v>1041</v>
      </c>
      <c r="N131" s="61">
        <v>12168</v>
      </c>
      <c r="O131" s="62">
        <v>312</v>
      </c>
      <c r="P131" s="59">
        <v>11544</v>
      </c>
      <c r="Q131" s="59">
        <f t="shared" si="16"/>
        <v>37</v>
      </c>
      <c r="R131" s="63">
        <v>2008</v>
      </c>
      <c r="S131" s="64">
        <v>0.01</v>
      </c>
      <c r="T131" s="300" t="s">
        <v>11</v>
      </c>
      <c r="U131" s="300" t="s">
        <v>11</v>
      </c>
      <c r="V131" s="295">
        <v>11544</v>
      </c>
      <c r="W131" s="295">
        <f t="shared" si="21"/>
        <v>160692.47999999998</v>
      </c>
      <c r="X131" s="295">
        <f t="shared" si="33"/>
        <v>184796.35</v>
      </c>
      <c r="Y131" s="296" t="s">
        <v>1566</v>
      </c>
      <c r="Z131" s="167"/>
      <c r="AA131" s="3"/>
    </row>
    <row r="132" spans="1:27" s="3" customFormat="1" ht="90" x14ac:dyDescent="0.2">
      <c r="A132" s="40"/>
      <c r="B132" s="218">
        <v>118</v>
      </c>
      <c r="C132" s="243" t="s">
        <v>1293</v>
      </c>
      <c r="D132" s="243" t="s">
        <v>1294</v>
      </c>
      <c r="E132" s="227" t="s">
        <v>330</v>
      </c>
      <c r="F132" s="219" t="s">
        <v>855</v>
      </c>
      <c r="G132" s="228" t="s">
        <v>373</v>
      </c>
      <c r="H132" s="228" t="s">
        <v>374</v>
      </c>
      <c r="I132" s="73" t="s">
        <v>68</v>
      </c>
      <c r="J132" s="59">
        <v>40000</v>
      </c>
      <c r="K132" s="60">
        <v>18</v>
      </c>
      <c r="L132" s="60" t="s">
        <v>1382</v>
      </c>
      <c r="M132" s="60" t="s">
        <v>1042</v>
      </c>
      <c r="N132" s="61">
        <v>93683</v>
      </c>
      <c r="O132" s="108" t="s">
        <v>1440</v>
      </c>
      <c r="P132" s="59">
        <v>53482</v>
      </c>
      <c r="Q132" s="59" t="e">
        <f t="shared" ref="Q132:Q195" si="34">+P132/O132</f>
        <v>#VALUE!</v>
      </c>
      <c r="R132" s="81">
        <v>2008</v>
      </c>
      <c r="S132" s="64">
        <v>0.05</v>
      </c>
      <c r="T132" s="232" t="s">
        <v>11</v>
      </c>
      <c r="U132" s="222" t="s">
        <v>1554</v>
      </c>
      <c r="V132" s="223">
        <v>53482</v>
      </c>
      <c r="W132" s="223">
        <f t="shared" si="21"/>
        <v>744469.44</v>
      </c>
      <c r="X132" s="223">
        <f>ROUND(+W132,2)</f>
        <v>744469.44</v>
      </c>
      <c r="Y132" s="224"/>
      <c r="Z132" s="167"/>
    </row>
    <row r="133" spans="1:27" s="3" customFormat="1" ht="75" x14ac:dyDescent="0.2">
      <c r="A133" s="40"/>
      <c r="B133" s="290">
        <v>119</v>
      </c>
      <c r="C133" s="290">
        <v>149107</v>
      </c>
      <c r="D133" s="290">
        <v>900110</v>
      </c>
      <c r="E133" s="297" t="s">
        <v>330</v>
      </c>
      <c r="F133" s="291" t="s">
        <v>856</v>
      </c>
      <c r="G133" s="299" t="s">
        <v>254</v>
      </c>
      <c r="H133" s="293" t="s">
        <v>375</v>
      </c>
      <c r="I133" s="73" t="s">
        <v>101</v>
      </c>
      <c r="J133" s="59">
        <v>50000</v>
      </c>
      <c r="K133" s="60">
        <v>12</v>
      </c>
      <c r="L133" s="60" t="s">
        <v>1043</v>
      </c>
      <c r="M133" s="60" t="s">
        <v>1044</v>
      </c>
      <c r="N133" s="61">
        <v>64101</v>
      </c>
      <c r="O133" s="62">
        <v>323.23</v>
      </c>
      <c r="P133" s="59">
        <v>20000</v>
      </c>
      <c r="Q133" s="59">
        <f t="shared" si="34"/>
        <v>61.875444729758989</v>
      </c>
      <c r="R133" s="81" t="s">
        <v>1331</v>
      </c>
      <c r="S133" s="64" t="s">
        <v>1335</v>
      </c>
      <c r="T133" s="300" t="s">
        <v>11</v>
      </c>
      <c r="U133" s="300" t="s">
        <v>11</v>
      </c>
      <c r="V133" s="295">
        <v>20000</v>
      </c>
      <c r="W133" s="295">
        <f t="shared" si="21"/>
        <v>278400</v>
      </c>
      <c r="X133" s="295">
        <f>ROUND(+V133*1.15*12*1.16,2)</f>
        <v>320160</v>
      </c>
      <c r="Y133" s="296" t="s">
        <v>1566</v>
      </c>
      <c r="Z133" s="167"/>
    </row>
    <row r="134" spans="1:27" s="3" customFormat="1" ht="93.75" x14ac:dyDescent="0.2">
      <c r="A134" s="40"/>
      <c r="B134" s="218">
        <v>120</v>
      </c>
      <c r="C134" s="218">
        <v>149001</v>
      </c>
      <c r="D134" s="218">
        <v>150100</v>
      </c>
      <c r="E134" s="227" t="s">
        <v>330</v>
      </c>
      <c r="F134" s="219" t="s">
        <v>857</v>
      </c>
      <c r="G134" s="228" t="s">
        <v>262</v>
      </c>
      <c r="H134" s="221" t="s">
        <v>376</v>
      </c>
      <c r="I134" s="73" t="s">
        <v>102</v>
      </c>
      <c r="J134" s="59">
        <v>164000</v>
      </c>
      <c r="K134" s="60">
        <v>27</v>
      </c>
      <c r="L134" s="60" t="s">
        <v>1045</v>
      </c>
      <c r="M134" s="60" t="s">
        <v>1525</v>
      </c>
      <c r="N134" s="61">
        <v>940541</v>
      </c>
      <c r="O134" s="62">
        <v>27305.94</v>
      </c>
      <c r="P134" s="59">
        <v>815000</v>
      </c>
      <c r="Q134" s="59">
        <f t="shared" si="34"/>
        <v>29.846985674179319</v>
      </c>
      <c r="R134" s="63">
        <v>2012</v>
      </c>
      <c r="S134" s="64">
        <v>0.33</v>
      </c>
      <c r="T134" s="232" t="s">
        <v>13</v>
      </c>
      <c r="U134" s="222" t="s">
        <v>1554</v>
      </c>
      <c r="V134" s="223">
        <v>815000</v>
      </c>
      <c r="W134" s="223">
        <f t="shared" si="21"/>
        <v>11344799.999999998</v>
      </c>
      <c r="X134" s="223">
        <f>ROUND(+W134,2)</f>
        <v>11344800</v>
      </c>
      <c r="Y134" s="224"/>
      <c r="Z134" s="167"/>
    </row>
    <row r="135" spans="1:27" s="3" customFormat="1" ht="56.25" x14ac:dyDescent="0.2">
      <c r="A135" s="40"/>
      <c r="B135" s="290">
        <v>121</v>
      </c>
      <c r="C135" s="290">
        <v>148101</v>
      </c>
      <c r="D135" s="290">
        <v>150100</v>
      </c>
      <c r="E135" s="297" t="s">
        <v>330</v>
      </c>
      <c r="F135" s="291" t="s">
        <v>1384</v>
      </c>
      <c r="G135" s="299" t="s">
        <v>637</v>
      </c>
      <c r="H135" s="293" t="s">
        <v>377</v>
      </c>
      <c r="I135" s="73" t="s">
        <v>37</v>
      </c>
      <c r="J135" s="59">
        <v>1500</v>
      </c>
      <c r="K135" s="60">
        <v>31</v>
      </c>
      <c r="L135" s="60" t="s">
        <v>1383</v>
      </c>
      <c r="M135" s="60" t="s">
        <v>1016</v>
      </c>
      <c r="N135" s="61">
        <v>9516</v>
      </c>
      <c r="O135" s="62">
        <v>424</v>
      </c>
      <c r="P135" s="59">
        <v>4345</v>
      </c>
      <c r="Q135" s="59">
        <f t="shared" si="34"/>
        <v>10.247641509433961</v>
      </c>
      <c r="R135" s="63">
        <v>2009</v>
      </c>
      <c r="S135" s="64">
        <v>0.02</v>
      </c>
      <c r="T135" s="300" t="s">
        <v>11</v>
      </c>
      <c r="U135" s="300" t="s">
        <v>11</v>
      </c>
      <c r="V135" s="295">
        <v>4345</v>
      </c>
      <c r="W135" s="295">
        <f t="shared" si="21"/>
        <v>60482.399999999994</v>
      </c>
      <c r="X135" s="295">
        <f>ROUND(+V135*1.15*12*1.16,2)</f>
        <v>69554.759999999995</v>
      </c>
      <c r="Y135" s="296" t="s">
        <v>1566</v>
      </c>
      <c r="Z135" s="167"/>
    </row>
    <row r="136" spans="1:27" s="3" customFormat="1" ht="75" x14ac:dyDescent="0.2">
      <c r="A136" s="40"/>
      <c r="B136" s="262">
        <v>122</v>
      </c>
      <c r="C136" s="283" t="s">
        <v>1295</v>
      </c>
      <c r="D136" s="283" t="s">
        <v>1296</v>
      </c>
      <c r="E136" s="269" t="s">
        <v>330</v>
      </c>
      <c r="F136" s="263" t="s">
        <v>858</v>
      </c>
      <c r="G136" s="271" t="s">
        <v>583</v>
      </c>
      <c r="H136" s="271" t="s">
        <v>559</v>
      </c>
      <c r="I136" s="73" t="s">
        <v>103</v>
      </c>
      <c r="J136" s="59">
        <v>60000</v>
      </c>
      <c r="K136" s="60">
        <v>20</v>
      </c>
      <c r="L136" s="60" t="s">
        <v>1046</v>
      </c>
      <c r="M136" s="60" t="s">
        <v>1047</v>
      </c>
      <c r="N136" s="61">
        <v>90247</v>
      </c>
      <c r="O136" s="62">
        <v>3111.98</v>
      </c>
      <c r="P136" s="59">
        <v>68140.800000000003</v>
      </c>
      <c r="Q136" s="59">
        <f t="shared" si="34"/>
        <v>21.896284680492805</v>
      </c>
      <c r="R136" s="63" t="s">
        <v>1330</v>
      </c>
      <c r="S136" s="109" t="s">
        <v>16</v>
      </c>
      <c r="T136" s="272" t="s">
        <v>13</v>
      </c>
      <c r="U136" s="272" t="s">
        <v>13</v>
      </c>
      <c r="V136" s="267">
        <v>68140.800000000003</v>
      </c>
      <c r="W136" s="267">
        <f t="shared" si="21"/>
        <v>948519.93599999999</v>
      </c>
      <c r="X136" s="267">
        <f>ROUND(+V136*1.16*12*1.1,2)</f>
        <v>1043371.93</v>
      </c>
      <c r="Y136" s="268" t="s">
        <v>1567</v>
      </c>
      <c r="Z136" s="167"/>
    </row>
    <row r="137" spans="1:27" s="3" customFormat="1" ht="60.75" x14ac:dyDescent="0.2">
      <c r="A137" s="40"/>
      <c r="B137" s="290">
        <v>123</v>
      </c>
      <c r="C137" s="290">
        <v>149104</v>
      </c>
      <c r="D137" s="290">
        <v>900110</v>
      </c>
      <c r="E137" s="297" t="s">
        <v>330</v>
      </c>
      <c r="F137" s="291" t="s">
        <v>859</v>
      </c>
      <c r="G137" s="299" t="s">
        <v>584</v>
      </c>
      <c r="H137" s="293" t="s">
        <v>378</v>
      </c>
      <c r="I137" s="73" t="s">
        <v>22</v>
      </c>
      <c r="J137" s="59">
        <v>1500</v>
      </c>
      <c r="K137" s="60">
        <v>16</v>
      </c>
      <c r="L137" s="60" t="s">
        <v>1048</v>
      </c>
      <c r="M137" s="60" t="s">
        <v>1049</v>
      </c>
      <c r="N137" s="61">
        <v>2600</v>
      </c>
      <c r="O137" s="62">
        <v>100</v>
      </c>
      <c r="P137" s="59">
        <v>1736</v>
      </c>
      <c r="Q137" s="59">
        <f t="shared" si="34"/>
        <v>17.36</v>
      </c>
      <c r="R137" s="63" t="s">
        <v>1330</v>
      </c>
      <c r="S137" s="109" t="s">
        <v>16</v>
      </c>
      <c r="T137" s="300" t="s">
        <v>11</v>
      </c>
      <c r="U137" s="300" t="s">
        <v>11</v>
      </c>
      <c r="V137" s="295">
        <v>1736</v>
      </c>
      <c r="W137" s="295">
        <f t="shared" si="21"/>
        <v>24165.119999999995</v>
      </c>
      <c r="X137" s="295">
        <f t="shared" ref="X137:X138" si="35">ROUND(+V137*1.15*12*1.16,2)</f>
        <v>27789.89</v>
      </c>
      <c r="Y137" s="296" t="s">
        <v>1566</v>
      </c>
      <c r="Z137" s="167">
        <f>SUM(X103:X137)</f>
        <v>20707078.860000003</v>
      </c>
    </row>
    <row r="138" spans="1:27" s="34" customFormat="1" ht="112.5" x14ac:dyDescent="0.2">
      <c r="A138" s="41"/>
      <c r="B138" s="290">
        <v>124</v>
      </c>
      <c r="C138" s="290">
        <v>159001</v>
      </c>
      <c r="D138" s="290">
        <v>100100</v>
      </c>
      <c r="E138" s="297" t="s">
        <v>291</v>
      </c>
      <c r="F138" s="291" t="s">
        <v>809</v>
      </c>
      <c r="G138" s="292" t="s">
        <v>623</v>
      </c>
      <c r="H138" s="292" t="s">
        <v>293</v>
      </c>
      <c r="I138" s="73" t="s">
        <v>104</v>
      </c>
      <c r="J138" s="59">
        <v>474788</v>
      </c>
      <c r="K138" s="110">
        <v>28</v>
      </c>
      <c r="L138" s="110">
        <v>9305</v>
      </c>
      <c r="M138" s="110" t="s">
        <v>1536</v>
      </c>
      <c r="N138" s="111">
        <v>1613719</v>
      </c>
      <c r="O138" s="62">
        <v>5899.29</v>
      </c>
      <c r="P138" s="59">
        <v>1201744.3700000001</v>
      </c>
      <c r="Q138" s="59">
        <f t="shared" si="34"/>
        <v>203.71000069499891</v>
      </c>
      <c r="R138" s="63">
        <v>2021</v>
      </c>
      <c r="S138" s="112">
        <v>0.06</v>
      </c>
      <c r="T138" s="306" t="s">
        <v>13</v>
      </c>
      <c r="U138" s="300" t="s">
        <v>11</v>
      </c>
      <c r="V138" s="295">
        <f>1394046.15/1.16</f>
        <v>1201763.9224137932</v>
      </c>
      <c r="W138" s="295">
        <f t="shared" si="21"/>
        <v>16728553.799999999</v>
      </c>
      <c r="X138" s="295">
        <f t="shared" si="35"/>
        <v>19237836.870000001</v>
      </c>
      <c r="Y138" s="296" t="s">
        <v>1566</v>
      </c>
      <c r="Z138" s="167">
        <f>+X138</f>
        <v>19237836.870000001</v>
      </c>
      <c r="AA138" s="19"/>
    </row>
    <row r="139" spans="1:27" ht="75" x14ac:dyDescent="0.2">
      <c r="B139" s="319">
        <v>125</v>
      </c>
      <c r="C139" s="319" t="s">
        <v>1297</v>
      </c>
      <c r="D139" s="319">
        <v>200200</v>
      </c>
      <c r="E139" s="320" t="s">
        <v>294</v>
      </c>
      <c r="F139" s="321" t="s">
        <v>810</v>
      </c>
      <c r="G139" s="322" t="s">
        <v>295</v>
      </c>
      <c r="H139" s="322" t="s">
        <v>298</v>
      </c>
      <c r="I139" s="65" t="s">
        <v>105</v>
      </c>
      <c r="J139" s="59">
        <v>5000</v>
      </c>
      <c r="K139" s="110">
        <v>14</v>
      </c>
      <c r="L139" s="110" t="s">
        <v>969</v>
      </c>
      <c r="M139" s="110" t="s">
        <v>970</v>
      </c>
      <c r="N139" s="111">
        <v>14035</v>
      </c>
      <c r="O139" s="62">
        <v>112.38</v>
      </c>
      <c r="P139" s="59">
        <v>8500</v>
      </c>
      <c r="Q139" s="59">
        <f t="shared" si="34"/>
        <v>75.63623420537462</v>
      </c>
      <c r="R139" s="63">
        <v>2015</v>
      </c>
      <c r="S139" s="109">
        <v>0.1</v>
      </c>
      <c r="T139" s="323" t="s">
        <v>869</v>
      </c>
      <c r="U139" s="323" t="s">
        <v>869</v>
      </c>
      <c r="V139" s="324">
        <v>8500</v>
      </c>
      <c r="W139" s="324">
        <f>ROUND(+V139*1.16*12,2)</f>
        <v>118320</v>
      </c>
      <c r="X139" s="324">
        <f>+W139</f>
        <v>118320</v>
      </c>
      <c r="Y139" s="325"/>
      <c r="Z139" s="167"/>
    </row>
    <row r="140" spans="1:27" ht="75" x14ac:dyDescent="0.2">
      <c r="B140" s="218">
        <v>126</v>
      </c>
      <c r="C140" s="218" t="s">
        <v>1298</v>
      </c>
      <c r="D140" s="218">
        <v>200200</v>
      </c>
      <c r="E140" s="227" t="s">
        <v>294</v>
      </c>
      <c r="F140" s="226" t="s">
        <v>811</v>
      </c>
      <c r="G140" s="228" t="s">
        <v>296</v>
      </c>
      <c r="H140" s="228" t="s">
        <v>1388</v>
      </c>
      <c r="I140" s="65" t="s">
        <v>106</v>
      </c>
      <c r="J140" s="59">
        <v>5469</v>
      </c>
      <c r="K140" s="110">
        <v>13</v>
      </c>
      <c r="L140" s="110" t="s">
        <v>971</v>
      </c>
      <c r="M140" s="110" t="s">
        <v>972</v>
      </c>
      <c r="N140" s="111">
        <v>5469</v>
      </c>
      <c r="O140" s="62">
        <v>170.9</v>
      </c>
      <c r="P140" s="59">
        <v>5469</v>
      </c>
      <c r="Q140" s="59">
        <f t="shared" si="34"/>
        <v>32.00117027501463</v>
      </c>
      <c r="R140" s="63" t="s">
        <v>1334</v>
      </c>
      <c r="S140" s="109" t="s">
        <v>16</v>
      </c>
      <c r="T140" s="232" t="s">
        <v>13</v>
      </c>
      <c r="U140" s="222" t="s">
        <v>1554</v>
      </c>
      <c r="V140" s="223">
        <v>5469</v>
      </c>
      <c r="W140" s="223">
        <f t="shared" si="21"/>
        <v>76128.479999999996</v>
      </c>
      <c r="X140" s="223">
        <f t="shared" ref="X140:X142" si="36">ROUND(+W140,2)</f>
        <v>76128.479999999996</v>
      </c>
      <c r="Y140" s="224"/>
      <c r="Z140" s="167"/>
    </row>
    <row r="141" spans="1:27" s="34" customFormat="1" ht="75" x14ac:dyDescent="0.2">
      <c r="A141" s="41"/>
      <c r="B141" s="218">
        <v>127</v>
      </c>
      <c r="C141" s="218" t="s">
        <v>1299</v>
      </c>
      <c r="D141" s="218">
        <v>200200</v>
      </c>
      <c r="E141" s="227" t="s">
        <v>294</v>
      </c>
      <c r="F141" s="226" t="s">
        <v>812</v>
      </c>
      <c r="G141" s="228" t="s">
        <v>297</v>
      </c>
      <c r="H141" s="244" t="s">
        <v>560</v>
      </c>
      <c r="I141" s="65" t="s">
        <v>205</v>
      </c>
      <c r="J141" s="59">
        <v>27000</v>
      </c>
      <c r="K141" s="110">
        <v>6</v>
      </c>
      <c r="L141" s="110" t="s">
        <v>973</v>
      </c>
      <c r="M141" s="110" t="s">
        <v>974</v>
      </c>
      <c r="N141" s="111">
        <v>72346</v>
      </c>
      <c r="O141" s="62">
        <v>599.34</v>
      </c>
      <c r="P141" s="59">
        <v>36714</v>
      </c>
      <c r="Q141" s="59">
        <f t="shared" si="34"/>
        <v>61.257383121433577</v>
      </c>
      <c r="R141" s="113">
        <v>2018</v>
      </c>
      <c r="S141" s="114">
        <v>0.35</v>
      </c>
      <c r="T141" s="232" t="s">
        <v>13</v>
      </c>
      <c r="U141" s="222" t="s">
        <v>1554</v>
      </c>
      <c r="V141" s="223">
        <v>36714</v>
      </c>
      <c r="W141" s="223">
        <f t="shared" si="21"/>
        <v>511058.88</v>
      </c>
      <c r="X141" s="223">
        <f t="shared" si="36"/>
        <v>511058.88</v>
      </c>
      <c r="Y141" s="224"/>
      <c r="Z141" s="167"/>
      <c r="AA141" s="19"/>
    </row>
    <row r="142" spans="1:27" ht="206.25" x14ac:dyDescent="0.2">
      <c r="B142" s="218">
        <v>128</v>
      </c>
      <c r="C142" s="218" t="s">
        <v>1300</v>
      </c>
      <c r="D142" s="218">
        <v>400100</v>
      </c>
      <c r="E142" s="227" t="s">
        <v>294</v>
      </c>
      <c r="F142" s="226" t="s">
        <v>813</v>
      </c>
      <c r="G142" s="228" t="s">
        <v>624</v>
      </c>
      <c r="H142" s="228" t="s">
        <v>299</v>
      </c>
      <c r="I142" s="65" t="s">
        <v>17</v>
      </c>
      <c r="J142" s="59">
        <v>22000</v>
      </c>
      <c r="K142" s="110">
        <v>27</v>
      </c>
      <c r="L142" s="110">
        <v>2206</v>
      </c>
      <c r="M142" s="110" t="s">
        <v>975</v>
      </c>
      <c r="N142" s="111">
        <v>95962</v>
      </c>
      <c r="O142" s="62">
        <v>849.07</v>
      </c>
      <c r="P142" s="59">
        <v>40000</v>
      </c>
      <c r="Q142" s="59">
        <f t="shared" si="34"/>
        <v>47.110367814196707</v>
      </c>
      <c r="R142" s="63">
        <v>2014</v>
      </c>
      <c r="S142" s="115">
        <v>0.23</v>
      </c>
      <c r="T142" s="232" t="s">
        <v>13</v>
      </c>
      <c r="U142" s="222" t="s">
        <v>1554</v>
      </c>
      <c r="V142" s="223">
        <v>40000</v>
      </c>
      <c r="W142" s="223">
        <f t="shared" si="21"/>
        <v>556800</v>
      </c>
      <c r="X142" s="223">
        <f t="shared" si="36"/>
        <v>556800</v>
      </c>
      <c r="Y142" s="224"/>
      <c r="Z142" s="167"/>
    </row>
    <row r="143" spans="1:27" ht="75" x14ac:dyDescent="0.2">
      <c r="B143" s="319">
        <v>129</v>
      </c>
      <c r="C143" s="319" t="s">
        <v>1301</v>
      </c>
      <c r="D143" s="319">
        <v>900110</v>
      </c>
      <c r="E143" s="320" t="s">
        <v>294</v>
      </c>
      <c r="F143" s="321" t="s">
        <v>814</v>
      </c>
      <c r="G143" s="322" t="s">
        <v>227</v>
      </c>
      <c r="H143" s="322" t="s">
        <v>300</v>
      </c>
      <c r="I143" s="65" t="s">
        <v>108</v>
      </c>
      <c r="J143" s="59">
        <v>5000</v>
      </c>
      <c r="K143" s="110">
        <v>45</v>
      </c>
      <c r="L143" s="110" t="s">
        <v>976</v>
      </c>
      <c r="M143" s="110" t="s">
        <v>977</v>
      </c>
      <c r="N143" s="111">
        <v>9344</v>
      </c>
      <c r="O143" s="62">
        <v>200</v>
      </c>
      <c r="P143" s="59">
        <v>7125.15</v>
      </c>
      <c r="Q143" s="59">
        <f t="shared" si="34"/>
        <v>35.625749999999996</v>
      </c>
      <c r="R143" s="63">
        <v>2008</v>
      </c>
      <c r="S143" s="115">
        <v>2.0000171785885978E-2</v>
      </c>
      <c r="T143" s="323" t="s">
        <v>869</v>
      </c>
      <c r="U143" s="323" t="s">
        <v>869</v>
      </c>
      <c r="V143" s="324">
        <v>7125.15</v>
      </c>
      <c r="W143" s="324">
        <f>ROUND(+V143*1.16*12,2)</f>
        <v>99182.09</v>
      </c>
      <c r="X143" s="324">
        <f>+W143</f>
        <v>99182.09</v>
      </c>
      <c r="Y143" s="325"/>
      <c r="Z143" s="167"/>
    </row>
    <row r="144" spans="1:27" ht="75" x14ac:dyDescent="0.2">
      <c r="B144" s="319">
        <v>130</v>
      </c>
      <c r="C144" s="319" t="s">
        <v>1301</v>
      </c>
      <c r="D144" s="319">
        <v>900100</v>
      </c>
      <c r="E144" s="320" t="s">
        <v>294</v>
      </c>
      <c r="F144" s="321" t="s">
        <v>815</v>
      </c>
      <c r="G144" s="322" t="s">
        <v>625</v>
      </c>
      <c r="H144" s="326" t="s">
        <v>562</v>
      </c>
      <c r="I144" s="65" t="s">
        <v>548</v>
      </c>
      <c r="J144" s="59">
        <v>60000</v>
      </c>
      <c r="K144" s="110">
        <v>4</v>
      </c>
      <c r="L144" s="110">
        <v>5622</v>
      </c>
      <c r="M144" s="110" t="s">
        <v>978</v>
      </c>
      <c r="N144" s="111">
        <v>77607</v>
      </c>
      <c r="O144" s="62">
        <v>592.1</v>
      </c>
      <c r="P144" s="59">
        <v>60000</v>
      </c>
      <c r="Q144" s="59">
        <f t="shared" si="34"/>
        <v>101.33423408208073</v>
      </c>
      <c r="R144" s="63" t="s">
        <v>16</v>
      </c>
      <c r="S144" s="109" t="s">
        <v>16</v>
      </c>
      <c r="T144" s="323" t="s">
        <v>869</v>
      </c>
      <c r="U144" s="323" t="s">
        <v>869</v>
      </c>
      <c r="V144" s="324">
        <v>60000</v>
      </c>
      <c r="W144" s="324">
        <f>ROUND(+V144*1.16*12,2)</f>
        <v>835200</v>
      </c>
      <c r="X144" s="324">
        <f>+W144</f>
        <v>835200</v>
      </c>
      <c r="Y144" s="325"/>
      <c r="Z144" s="167"/>
    </row>
    <row r="145" spans="1:27" ht="112.5" x14ac:dyDescent="0.2">
      <c r="B145" s="218">
        <v>131</v>
      </c>
      <c r="C145" s="218" t="s">
        <v>1302</v>
      </c>
      <c r="D145" s="218">
        <v>380200</v>
      </c>
      <c r="E145" s="227" t="s">
        <v>294</v>
      </c>
      <c r="F145" s="226" t="s">
        <v>1351</v>
      </c>
      <c r="G145" s="228" t="s">
        <v>261</v>
      </c>
      <c r="H145" s="228" t="s">
        <v>1349</v>
      </c>
      <c r="I145" s="65" t="s">
        <v>1350</v>
      </c>
      <c r="J145" s="59">
        <v>80837</v>
      </c>
      <c r="K145" s="110">
        <v>2</v>
      </c>
      <c r="L145" s="110">
        <v>7357</v>
      </c>
      <c r="M145" s="110" t="s">
        <v>1348</v>
      </c>
      <c r="N145" s="111">
        <v>80837</v>
      </c>
      <c r="O145" s="62">
        <v>1071.69</v>
      </c>
      <c r="P145" s="111">
        <v>80837</v>
      </c>
      <c r="Q145" s="59">
        <f t="shared" si="34"/>
        <v>75.429461877968436</v>
      </c>
      <c r="R145" s="63" t="s">
        <v>16</v>
      </c>
      <c r="S145" s="109" t="s">
        <v>16</v>
      </c>
      <c r="T145" s="232" t="s">
        <v>13</v>
      </c>
      <c r="U145" s="222" t="s">
        <v>1554</v>
      </c>
      <c r="V145" s="223">
        <v>80837</v>
      </c>
      <c r="W145" s="223">
        <f t="shared" ref="W145:W147" si="37">+V145*1.16*12</f>
        <v>1125251.04</v>
      </c>
      <c r="X145" s="223">
        <f>ROUND(+W145,2)</f>
        <v>1125251.04</v>
      </c>
      <c r="Y145" s="224"/>
      <c r="Z145" s="167"/>
    </row>
    <row r="146" spans="1:27" ht="75" x14ac:dyDescent="0.2">
      <c r="B146" s="319">
        <v>132</v>
      </c>
      <c r="C146" s="319" t="s">
        <v>1303</v>
      </c>
      <c r="D146" s="319">
        <v>920201</v>
      </c>
      <c r="E146" s="320" t="s">
        <v>294</v>
      </c>
      <c r="F146" s="321" t="s">
        <v>816</v>
      </c>
      <c r="G146" s="322" t="s">
        <v>254</v>
      </c>
      <c r="H146" s="322" t="s">
        <v>301</v>
      </c>
      <c r="I146" s="65" t="s">
        <v>109</v>
      </c>
      <c r="J146" s="59">
        <v>25000</v>
      </c>
      <c r="K146" s="110">
        <v>19</v>
      </c>
      <c r="L146" s="110" t="s">
        <v>979</v>
      </c>
      <c r="M146" s="110" t="s">
        <v>980</v>
      </c>
      <c r="N146" s="111">
        <v>26740</v>
      </c>
      <c r="O146" s="62">
        <v>1158.69</v>
      </c>
      <c r="P146" s="59">
        <v>26250</v>
      </c>
      <c r="Q146" s="59">
        <f t="shared" si="34"/>
        <v>22.654894751831808</v>
      </c>
      <c r="R146" s="63">
        <v>2006</v>
      </c>
      <c r="S146" s="109">
        <v>0.05</v>
      </c>
      <c r="T146" s="323" t="s">
        <v>869</v>
      </c>
      <c r="U146" s="323" t="s">
        <v>869</v>
      </c>
      <c r="V146" s="324">
        <v>26250</v>
      </c>
      <c r="W146" s="324">
        <f>ROUND(+V146*1.16*12,2)</f>
        <v>365400</v>
      </c>
      <c r="X146" s="324">
        <f>+W146</f>
        <v>365400</v>
      </c>
      <c r="Y146" s="325"/>
      <c r="Z146" s="167"/>
    </row>
    <row r="147" spans="1:27" ht="93.75" x14ac:dyDescent="0.2">
      <c r="B147" s="290">
        <v>133</v>
      </c>
      <c r="C147" s="290" t="s">
        <v>1304</v>
      </c>
      <c r="D147" s="290" t="s">
        <v>1305</v>
      </c>
      <c r="E147" s="297" t="s">
        <v>294</v>
      </c>
      <c r="F147" s="298" t="s">
        <v>817</v>
      </c>
      <c r="G147" s="299" t="s">
        <v>227</v>
      </c>
      <c r="H147" s="299" t="s">
        <v>302</v>
      </c>
      <c r="I147" s="65" t="s">
        <v>110</v>
      </c>
      <c r="J147" s="59">
        <v>481680</v>
      </c>
      <c r="K147" s="110">
        <v>10</v>
      </c>
      <c r="L147" s="110" t="s">
        <v>981</v>
      </c>
      <c r="M147" s="110" t="s">
        <v>982</v>
      </c>
      <c r="N147" s="111">
        <v>321239</v>
      </c>
      <c r="O147" s="62">
        <v>2996.96</v>
      </c>
      <c r="P147" s="59">
        <v>300000</v>
      </c>
      <c r="Q147" s="59">
        <f t="shared" si="34"/>
        <v>100.1014361219369</v>
      </c>
      <c r="R147" s="63" t="s">
        <v>1333</v>
      </c>
      <c r="S147" s="109" t="s">
        <v>1340</v>
      </c>
      <c r="T147" s="300" t="s">
        <v>11</v>
      </c>
      <c r="U147" s="300" t="s">
        <v>11</v>
      </c>
      <c r="V147" s="295">
        <v>300000</v>
      </c>
      <c r="W147" s="295">
        <f t="shared" si="37"/>
        <v>4176000</v>
      </c>
      <c r="X147" s="295">
        <f>ROUND(+V147*1.15*12*1.16,2)</f>
        <v>4802400</v>
      </c>
      <c r="Y147" s="296" t="s">
        <v>1566</v>
      </c>
      <c r="Z147" s="167"/>
    </row>
    <row r="148" spans="1:27" ht="75" x14ac:dyDescent="0.2">
      <c r="B148" s="218">
        <v>134</v>
      </c>
      <c r="C148" s="218">
        <v>169001</v>
      </c>
      <c r="D148" s="218" t="s">
        <v>1534</v>
      </c>
      <c r="E148" s="227" t="s">
        <v>294</v>
      </c>
      <c r="F148" s="226" t="s">
        <v>1470</v>
      </c>
      <c r="G148" s="228" t="s">
        <v>1464</v>
      </c>
      <c r="H148" s="228" t="s">
        <v>1471</v>
      </c>
      <c r="I148" s="65" t="s">
        <v>1466</v>
      </c>
      <c r="J148" s="59">
        <v>22500</v>
      </c>
      <c r="K148" s="60" t="s">
        <v>16</v>
      </c>
      <c r="L148" s="60">
        <v>8945</v>
      </c>
      <c r="M148" s="60" t="s">
        <v>1472</v>
      </c>
      <c r="N148" s="61">
        <v>38421</v>
      </c>
      <c r="O148" s="62">
        <v>187</v>
      </c>
      <c r="P148" s="59">
        <v>22500</v>
      </c>
      <c r="Q148" s="59">
        <f t="shared" si="34"/>
        <v>120.32085561497327</v>
      </c>
      <c r="R148" s="63" t="s">
        <v>16</v>
      </c>
      <c r="S148" s="64" t="s">
        <v>16</v>
      </c>
      <c r="T148" s="222" t="s">
        <v>1554</v>
      </c>
      <c r="U148" s="222" t="s">
        <v>1554</v>
      </c>
      <c r="V148" s="223">
        <v>22500</v>
      </c>
      <c r="W148" s="223">
        <f>+V148*12</f>
        <v>270000</v>
      </c>
      <c r="X148" s="223">
        <f>ROUND(+W148,2)</f>
        <v>270000</v>
      </c>
      <c r="Y148" s="224"/>
      <c r="Z148" s="167">
        <f>SUM(X139:X148)</f>
        <v>8759740.4900000002</v>
      </c>
    </row>
    <row r="149" spans="1:27" s="33" customFormat="1" ht="75" x14ac:dyDescent="0.2">
      <c r="A149" s="41"/>
      <c r="B149" s="262">
        <v>135</v>
      </c>
      <c r="C149" s="262">
        <v>175303</v>
      </c>
      <c r="D149" s="262">
        <v>310203</v>
      </c>
      <c r="E149" s="269" t="s">
        <v>379</v>
      </c>
      <c r="F149" s="270" t="s">
        <v>1372</v>
      </c>
      <c r="G149" s="264" t="s">
        <v>292</v>
      </c>
      <c r="H149" s="271" t="s">
        <v>381</v>
      </c>
      <c r="I149" s="65" t="s">
        <v>111</v>
      </c>
      <c r="J149" s="59">
        <v>500</v>
      </c>
      <c r="K149" s="60">
        <v>37</v>
      </c>
      <c r="L149" s="60" t="s">
        <v>1050</v>
      </c>
      <c r="M149" s="60" t="s">
        <v>1051</v>
      </c>
      <c r="N149" s="61">
        <v>17784</v>
      </c>
      <c r="O149" s="62">
        <v>857.5</v>
      </c>
      <c r="P149" s="59">
        <v>15268.11</v>
      </c>
      <c r="Q149" s="59">
        <f t="shared" si="34"/>
        <v>17.805376093294463</v>
      </c>
      <c r="R149" s="63">
        <v>2018</v>
      </c>
      <c r="S149" s="64" t="s">
        <v>592</v>
      </c>
      <c r="T149" s="272" t="s">
        <v>11</v>
      </c>
      <c r="U149" s="272" t="s">
        <v>13</v>
      </c>
      <c r="V149" s="267">
        <v>15268.11</v>
      </c>
      <c r="W149" s="267">
        <f t="shared" ref="W149:W156" si="38">+V149*1.16*12</f>
        <v>212532.09120000002</v>
      </c>
      <c r="X149" s="267">
        <f>ROUND(+V149*1.16*12*1.1,2)</f>
        <v>233785.3</v>
      </c>
      <c r="Y149" s="268" t="s">
        <v>1567</v>
      </c>
      <c r="Z149" s="167"/>
      <c r="AA149" s="3"/>
    </row>
    <row r="150" spans="1:27" s="33" customFormat="1" ht="93.75" x14ac:dyDescent="0.2">
      <c r="A150" s="41"/>
      <c r="B150" s="290">
        <v>136</v>
      </c>
      <c r="C150" s="290">
        <v>179103</v>
      </c>
      <c r="D150" s="290">
        <v>900110</v>
      </c>
      <c r="E150" s="297" t="s">
        <v>379</v>
      </c>
      <c r="F150" s="298" t="s">
        <v>1374</v>
      </c>
      <c r="G150" s="292" t="s">
        <v>227</v>
      </c>
      <c r="H150" s="299" t="s">
        <v>382</v>
      </c>
      <c r="I150" s="65" t="s">
        <v>89</v>
      </c>
      <c r="J150" s="59">
        <v>7700</v>
      </c>
      <c r="K150" s="60">
        <v>30</v>
      </c>
      <c r="L150" s="60">
        <v>6772</v>
      </c>
      <c r="M150" s="60" t="s">
        <v>1052</v>
      </c>
      <c r="N150" s="61">
        <v>59509</v>
      </c>
      <c r="O150" s="62">
        <v>979</v>
      </c>
      <c r="P150" s="59">
        <v>40000</v>
      </c>
      <c r="Q150" s="59">
        <f t="shared" si="34"/>
        <v>40.858018386108277</v>
      </c>
      <c r="R150" s="63">
        <v>2018</v>
      </c>
      <c r="S150" s="64">
        <v>0.59</v>
      </c>
      <c r="T150" s="300" t="s">
        <v>11</v>
      </c>
      <c r="U150" s="300" t="s">
        <v>11</v>
      </c>
      <c r="V150" s="295">
        <v>40000</v>
      </c>
      <c r="W150" s="295">
        <f t="shared" si="38"/>
        <v>556800</v>
      </c>
      <c r="X150" s="295">
        <f t="shared" ref="X150:X151" si="39">ROUND(+V150*1.15*12*1.16,2)</f>
        <v>640320</v>
      </c>
      <c r="Y150" s="296" t="s">
        <v>1566</v>
      </c>
      <c r="Z150" s="167"/>
      <c r="AA150" s="3"/>
    </row>
    <row r="151" spans="1:27" s="33" customFormat="1" ht="75" x14ac:dyDescent="0.2">
      <c r="A151" s="41"/>
      <c r="B151" s="290">
        <v>137</v>
      </c>
      <c r="C151" s="290">
        <v>179104</v>
      </c>
      <c r="D151" s="290">
        <v>900110</v>
      </c>
      <c r="E151" s="297" t="s">
        <v>379</v>
      </c>
      <c r="F151" s="298" t="s">
        <v>1371</v>
      </c>
      <c r="G151" s="292" t="s">
        <v>227</v>
      </c>
      <c r="H151" s="299" t="s">
        <v>383</v>
      </c>
      <c r="I151" s="65" t="s">
        <v>112</v>
      </c>
      <c r="J151" s="59">
        <v>750</v>
      </c>
      <c r="K151" s="60">
        <v>34</v>
      </c>
      <c r="L151" s="60" t="s">
        <v>1053</v>
      </c>
      <c r="M151" s="60" t="s">
        <v>1054</v>
      </c>
      <c r="N151" s="61">
        <v>24072</v>
      </c>
      <c r="O151" s="62">
        <v>1217</v>
      </c>
      <c r="P151" s="59">
        <v>19686</v>
      </c>
      <c r="Q151" s="59">
        <f t="shared" si="34"/>
        <v>16.175842235004108</v>
      </c>
      <c r="R151" s="63" t="s">
        <v>1330</v>
      </c>
      <c r="S151" s="64" t="s">
        <v>16</v>
      </c>
      <c r="T151" s="300" t="s">
        <v>11</v>
      </c>
      <c r="U151" s="300" t="s">
        <v>11</v>
      </c>
      <c r="V151" s="295">
        <v>19686</v>
      </c>
      <c r="W151" s="295">
        <f t="shared" si="38"/>
        <v>274029.12</v>
      </c>
      <c r="X151" s="295">
        <f t="shared" si="39"/>
        <v>315133.49</v>
      </c>
      <c r="Y151" s="296" t="s">
        <v>1566</v>
      </c>
      <c r="Z151" s="167"/>
      <c r="AA151" s="3"/>
    </row>
    <row r="152" spans="1:27" s="33" customFormat="1" ht="93.75" x14ac:dyDescent="0.2">
      <c r="A152" s="41"/>
      <c r="B152" s="218">
        <v>138</v>
      </c>
      <c r="C152" s="218">
        <v>179102</v>
      </c>
      <c r="D152" s="218">
        <v>900110</v>
      </c>
      <c r="E152" s="227" t="s">
        <v>379</v>
      </c>
      <c r="F152" s="226" t="s">
        <v>860</v>
      </c>
      <c r="G152" s="220" t="s">
        <v>305</v>
      </c>
      <c r="H152" s="228" t="s">
        <v>1373</v>
      </c>
      <c r="I152" s="65" t="s">
        <v>113</v>
      </c>
      <c r="J152" s="59">
        <v>20000</v>
      </c>
      <c r="K152" s="60">
        <v>22</v>
      </c>
      <c r="L152" s="60" t="s">
        <v>1055</v>
      </c>
      <c r="M152" s="60" t="s">
        <v>1056</v>
      </c>
      <c r="N152" s="61">
        <v>41123</v>
      </c>
      <c r="O152" s="62">
        <v>854</v>
      </c>
      <c r="P152" s="59">
        <v>29485.07</v>
      </c>
      <c r="Q152" s="59">
        <f t="shared" si="34"/>
        <v>34.525843091334892</v>
      </c>
      <c r="R152" s="63">
        <v>2018</v>
      </c>
      <c r="S152" s="64" t="s">
        <v>592</v>
      </c>
      <c r="T152" s="222" t="s">
        <v>1554</v>
      </c>
      <c r="U152" s="222" t="s">
        <v>1554</v>
      </c>
      <c r="V152" s="223">
        <v>29485.07</v>
      </c>
      <c r="W152" s="223">
        <f t="shared" si="38"/>
        <v>410432.17440000002</v>
      </c>
      <c r="X152" s="223">
        <f t="shared" ref="X152:X154" si="40">ROUND(+W152,2)</f>
        <v>410432.17</v>
      </c>
      <c r="Y152" s="224"/>
      <c r="Z152" s="167"/>
      <c r="AA152" s="3"/>
    </row>
    <row r="153" spans="1:27" s="33" customFormat="1" ht="75" x14ac:dyDescent="0.2">
      <c r="A153" s="41"/>
      <c r="B153" s="218">
        <v>139</v>
      </c>
      <c r="C153" s="218">
        <v>175904</v>
      </c>
      <c r="D153" s="218">
        <v>380200</v>
      </c>
      <c r="E153" s="227" t="s">
        <v>379</v>
      </c>
      <c r="F153" s="226" t="s">
        <v>861</v>
      </c>
      <c r="G153" s="220" t="s">
        <v>261</v>
      </c>
      <c r="H153" s="228" t="s">
        <v>384</v>
      </c>
      <c r="I153" s="65" t="s">
        <v>114</v>
      </c>
      <c r="J153" s="59">
        <v>12893.5</v>
      </c>
      <c r="K153" s="60">
        <v>13</v>
      </c>
      <c r="L153" s="63">
        <v>7908</v>
      </c>
      <c r="M153" s="60" t="s">
        <v>1431</v>
      </c>
      <c r="N153" s="61">
        <v>44180</v>
      </c>
      <c r="O153" s="62">
        <v>500</v>
      </c>
      <c r="P153" s="59">
        <v>25000</v>
      </c>
      <c r="Q153" s="59">
        <f t="shared" si="34"/>
        <v>50</v>
      </c>
      <c r="R153" s="63">
        <v>2019</v>
      </c>
      <c r="S153" s="64" t="s">
        <v>1370</v>
      </c>
      <c r="T153" s="222" t="s">
        <v>1554</v>
      </c>
      <c r="U153" s="222" t="s">
        <v>1554</v>
      </c>
      <c r="V153" s="223">
        <v>25000</v>
      </c>
      <c r="W153" s="223">
        <f t="shared" si="38"/>
        <v>347999.99999999994</v>
      </c>
      <c r="X153" s="223">
        <f t="shared" si="40"/>
        <v>348000</v>
      </c>
      <c r="Y153" s="224"/>
      <c r="Z153" s="167"/>
      <c r="AA153" s="3"/>
    </row>
    <row r="154" spans="1:27" s="33" customFormat="1" ht="93.75" x14ac:dyDescent="0.2">
      <c r="A154" s="41"/>
      <c r="B154" s="218">
        <v>140</v>
      </c>
      <c r="C154" s="218">
        <v>175901</v>
      </c>
      <c r="D154" s="218">
        <v>380200</v>
      </c>
      <c r="E154" s="227" t="s">
        <v>379</v>
      </c>
      <c r="F154" s="226" t="s">
        <v>862</v>
      </c>
      <c r="G154" s="245" t="s">
        <v>380</v>
      </c>
      <c r="H154" s="228" t="s">
        <v>385</v>
      </c>
      <c r="I154" s="116" t="s">
        <v>115</v>
      </c>
      <c r="J154" s="59">
        <v>33652.800000000003</v>
      </c>
      <c r="K154" s="60">
        <v>15</v>
      </c>
      <c r="L154" s="60">
        <v>8820</v>
      </c>
      <c r="M154" s="60" t="s">
        <v>1453</v>
      </c>
      <c r="N154" s="61">
        <v>117722</v>
      </c>
      <c r="O154" s="62">
        <v>623.20000000000005</v>
      </c>
      <c r="P154" s="59">
        <v>45590.38</v>
      </c>
      <c r="Q154" s="59">
        <f t="shared" si="34"/>
        <v>73.155295250320918</v>
      </c>
      <c r="R154" s="63">
        <v>2020</v>
      </c>
      <c r="S154" s="64">
        <v>0.23</v>
      </c>
      <c r="T154" s="222" t="s">
        <v>1554</v>
      </c>
      <c r="U154" s="222" t="s">
        <v>1554</v>
      </c>
      <c r="V154" s="223">
        <v>45590.38</v>
      </c>
      <c r="W154" s="223">
        <f t="shared" si="38"/>
        <v>634618.08959999983</v>
      </c>
      <c r="X154" s="223">
        <f t="shared" si="40"/>
        <v>634618.09</v>
      </c>
      <c r="Y154" s="224"/>
      <c r="Z154" s="167"/>
      <c r="AA154" s="3"/>
    </row>
    <row r="155" spans="1:27" s="33" customFormat="1" ht="75" x14ac:dyDescent="0.2">
      <c r="A155" s="41"/>
      <c r="B155" s="262">
        <v>141</v>
      </c>
      <c r="C155" s="262">
        <v>178102</v>
      </c>
      <c r="D155" s="262">
        <v>150100</v>
      </c>
      <c r="E155" s="269" t="s">
        <v>379</v>
      </c>
      <c r="F155" s="270" t="s">
        <v>883</v>
      </c>
      <c r="G155" s="264" t="s">
        <v>386</v>
      </c>
      <c r="H155" s="271" t="s">
        <v>388</v>
      </c>
      <c r="I155" s="65" t="s">
        <v>116</v>
      </c>
      <c r="J155" s="59">
        <v>40000</v>
      </c>
      <c r="K155" s="60">
        <v>7</v>
      </c>
      <c r="L155" s="60">
        <v>1873</v>
      </c>
      <c r="M155" s="60" t="s">
        <v>1057</v>
      </c>
      <c r="N155" s="61">
        <v>119007</v>
      </c>
      <c r="O155" s="62">
        <v>2100</v>
      </c>
      <c r="P155" s="59">
        <v>40000</v>
      </c>
      <c r="Q155" s="59">
        <f t="shared" si="34"/>
        <v>19.047619047619047</v>
      </c>
      <c r="R155" s="63" t="s">
        <v>1334</v>
      </c>
      <c r="S155" s="64" t="s">
        <v>16</v>
      </c>
      <c r="T155" s="266" t="s">
        <v>1554</v>
      </c>
      <c r="U155" s="272" t="s">
        <v>13</v>
      </c>
      <c r="V155" s="267">
        <v>40000</v>
      </c>
      <c r="W155" s="267">
        <f t="shared" si="38"/>
        <v>556800</v>
      </c>
      <c r="X155" s="267">
        <f>ROUND(+V155*1.16*12*1.1,2)</f>
        <v>612480</v>
      </c>
      <c r="Y155" s="268" t="s">
        <v>1567</v>
      </c>
      <c r="Z155" s="167"/>
      <c r="AA155" s="3"/>
    </row>
    <row r="156" spans="1:27" s="33" customFormat="1" ht="93.75" x14ac:dyDescent="0.2">
      <c r="A156" s="41"/>
      <c r="B156" s="290">
        <v>142</v>
      </c>
      <c r="C156" s="290">
        <v>175301</v>
      </c>
      <c r="D156" s="290">
        <v>310203</v>
      </c>
      <c r="E156" s="297" t="s">
        <v>379</v>
      </c>
      <c r="F156" s="298" t="s">
        <v>863</v>
      </c>
      <c r="G156" s="292" t="s">
        <v>292</v>
      </c>
      <c r="H156" s="299" t="s">
        <v>1433</v>
      </c>
      <c r="I156" s="65" t="s">
        <v>207</v>
      </c>
      <c r="J156" s="59">
        <v>50000</v>
      </c>
      <c r="K156" s="60">
        <v>6</v>
      </c>
      <c r="L156" s="60">
        <v>8152</v>
      </c>
      <c r="M156" s="60" t="s">
        <v>1526</v>
      </c>
      <c r="N156" s="61">
        <v>247635</v>
      </c>
      <c r="O156" s="62">
        <v>1500</v>
      </c>
      <c r="P156" s="59">
        <v>59778.8</v>
      </c>
      <c r="Q156" s="59">
        <f t="shared" si="34"/>
        <v>39.852533333333334</v>
      </c>
      <c r="R156" s="63" t="s">
        <v>1334</v>
      </c>
      <c r="S156" s="64" t="s">
        <v>16</v>
      </c>
      <c r="T156" s="300" t="s">
        <v>11</v>
      </c>
      <c r="U156" s="300" t="s">
        <v>11</v>
      </c>
      <c r="V156" s="295">
        <v>59778.8</v>
      </c>
      <c r="W156" s="295">
        <f t="shared" si="38"/>
        <v>832120.89599999995</v>
      </c>
      <c r="X156" s="295">
        <f>ROUND(+V156*1.15*12*1.16,2)</f>
        <v>956939.03</v>
      </c>
      <c r="Y156" s="296" t="s">
        <v>1566</v>
      </c>
      <c r="Z156" s="167"/>
      <c r="AA156" s="3"/>
    </row>
    <row r="157" spans="1:27" s="33" customFormat="1" ht="93.75" x14ac:dyDescent="0.2">
      <c r="A157" s="41"/>
      <c r="B157" s="218">
        <v>143</v>
      </c>
      <c r="C157" s="218">
        <v>179001</v>
      </c>
      <c r="D157" s="225" t="s">
        <v>1282</v>
      </c>
      <c r="E157" s="227" t="s">
        <v>379</v>
      </c>
      <c r="F157" s="226" t="s">
        <v>1495</v>
      </c>
      <c r="G157" s="220" t="s">
        <v>1464</v>
      </c>
      <c r="H157" s="228" t="s">
        <v>1496</v>
      </c>
      <c r="I157" s="117" t="s">
        <v>1497</v>
      </c>
      <c r="J157" s="59">
        <v>22500</v>
      </c>
      <c r="K157" s="60" t="s">
        <v>16</v>
      </c>
      <c r="L157" s="60" t="s">
        <v>1498</v>
      </c>
      <c r="M157" s="60" t="s">
        <v>1497</v>
      </c>
      <c r="N157" s="61"/>
      <c r="O157" s="62">
        <v>198</v>
      </c>
      <c r="P157" s="59">
        <v>22500</v>
      </c>
      <c r="Q157" s="59">
        <f t="shared" si="34"/>
        <v>113.63636363636364</v>
      </c>
      <c r="R157" s="63" t="s">
        <v>16</v>
      </c>
      <c r="S157" s="64" t="s">
        <v>16</v>
      </c>
      <c r="T157" s="222" t="s">
        <v>1554</v>
      </c>
      <c r="U157" s="222" t="s">
        <v>1554</v>
      </c>
      <c r="V157" s="223">
        <v>22500</v>
      </c>
      <c r="W157" s="223">
        <f>+V157*12</f>
        <v>270000</v>
      </c>
      <c r="X157" s="223">
        <f t="shared" ref="X157:X158" si="41">ROUND(+W157,2)</f>
        <v>270000</v>
      </c>
      <c r="Y157" s="224"/>
      <c r="Z157" s="167">
        <f>SUM(X149:X157)</f>
        <v>4421708.08</v>
      </c>
      <c r="AA157" s="3"/>
    </row>
    <row r="158" spans="1:27" s="33" customFormat="1" ht="56.25" x14ac:dyDescent="0.2">
      <c r="A158" s="41"/>
      <c r="B158" s="218">
        <v>144</v>
      </c>
      <c r="C158" s="218">
        <v>182421</v>
      </c>
      <c r="D158" s="218">
        <v>200200</v>
      </c>
      <c r="E158" s="227" t="s">
        <v>389</v>
      </c>
      <c r="F158" s="219" t="s">
        <v>864</v>
      </c>
      <c r="G158" s="228" t="s">
        <v>390</v>
      </c>
      <c r="H158" s="228" t="s">
        <v>393</v>
      </c>
      <c r="I158" s="117" t="s">
        <v>117</v>
      </c>
      <c r="J158" s="59">
        <v>600</v>
      </c>
      <c r="K158" s="60">
        <v>51</v>
      </c>
      <c r="L158" s="60" t="s">
        <v>1058</v>
      </c>
      <c r="M158" s="60" t="s">
        <v>1059</v>
      </c>
      <c r="N158" s="61">
        <v>5160</v>
      </c>
      <c r="O158" s="62">
        <v>146.15</v>
      </c>
      <c r="P158" s="59">
        <v>4709.76</v>
      </c>
      <c r="Q158" s="59">
        <f t="shared" si="34"/>
        <v>32.225521724255898</v>
      </c>
      <c r="R158" s="63">
        <v>2017</v>
      </c>
      <c r="S158" s="64">
        <v>0.1</v>
      </c>
      <c r="T158" s="222" t="s">
        <v>1554</v>
      </c>
      <c r="U158" s="222" t="s">
        <v>1554</v>
      </c>
      <c r="V158" s="223">
        <v>4709.76</v>
      </c>
      <c r="W158" s="223">
        <f t="shared" ref="W158:W167" si="42">+V158*1.16*12</f>
        <v>65559.859200000006</v>
      </c>
      <c r="X158" s="223">
        <f t="shared" si="41"/>
        <v>65559.86</v>
      </c>
      <c r="Y158" s="224"/>
      <c r="Z158" s="167"/>
      <c r="AA158" s="3"/>
    </row>
    <row r="159" spans="1:27" s="33" customFormat="1" ht="56.25" x14ac:dyDescent="0.2">
      <c r="A159" s="41"/>
      <c r="B159" s="262">
        <v>145</v>
      </c>
      <c r="C159" s="262">
        <v>182419</v>
      </c>
      <c r="D159" s="262">
        <v>200200</v>
      </c>
      <c r="E159" s="269" t="s">
        <v>389</v>
      </c>
      <c r="F159" s="263" t="s">
        <v>865</v>
      </c>
      <c r="G159" s="271" t="s">
        <v>391</v>
      </c>
      <c r="H159" s="271" t="s">
        <v>394</v>
      </c>
      <c r="I159" s="65" t="s">
        <v>118</v>
      </c>
      <c r="J159" s="59">
        <v>60</v>
      </c>
      <c r="K159" s="60">
        <v>34</v>
      </c>
      <c r="L159" s="60" t="s">
        <v>1060</v>
      </c>
      <c r="M159" s="60" t="s">
        <v>1061</v>
      </c>
      <c r="N159" s="61">
        <v>8470</v>
      </c>
      <c r="O159" s="62">
        <v>171</v>
      </c>
      <c r="P159" s="59">
        <v>6798</v>
      </c>
      <c r="Q159" s="59">
        <f t="shared" si="34"/>
        <v>39.754385964912281</v>
      </c>
      <c r="R159" s="63">
        <v>2017</v>
      </c>
      <c r="S159" s="64">
        <v>0.1</v>
      </c>
      <c r="T159" s="266" t="s">
        <v>1554</v>
      </c>
      <c r="U159" s="272" t="s">
        <v>13</v>
      </c>
      <c r="V159" s="267">
        <v>6798</v>
      </c>
      <c r="W159" s="267">
        <f t="shared" si="42"/>
        <v>94628.159999999989</v>
      </c>
      <c r="X159" s="267">
        <f>ROUND(+V159*1.16*12*1.1,2)</f>
        <v>104090.98</v>
      </c>
      <c r="Y159" s="268" t="s">
        <v>1567</v>
      </c>
      <c r="Z159" s="167"/>
      <c r="AA159" s="3"/>
    </row>
    <row r="160" spans="1:27" s="33" customFormat="1" ht="75" x14ac:dyDescent="0.2">
      <c r="A160" s="41"/>
      <c r="B160" s="218">
        <v>146</v>
      </c>
      <c r="C160" s="218">
        <v>185901</v>
      </c>
      <c r="D160" s="218">
        <v>380200</v>
      </c>
      <c r="E160" s="227" t="s">
        <v>389</v>
      </c>
      <c r="F160" s="219" t="s">
        <v>866</v>
      </c>
      <c r="G160" s="228" t="s">
        <v>392</v>
      </c>
      <c r="H160" s="228" t="s">
        <v>1428</v>
      </c>
      <c r="I160" s="118" t="s">
        <v>548</v>
      </c>
      <c r="J160" s="59">
        <v>28000</v>
      </c>
      <c r="K160" s="60">
        <v>3</v>
      </c>
      <c r="L160" s="60">
        <v>5601</v>
      </c>
      <c r="M160" s="60" t="s">
        <v>1062</v>
      </c>
      <c r="N160" s="61">
        <v>75653</v>
      </c>
      <c r="O160" s="62">
        <v>378</v>
      </c>
      <c r="P160" s="59">
        <v>30520</v>
      </c>
      <c r="Q160" s="59">
        <f t="shared" si="34"/>
        <v>80.740740740740748</v>
      </c>
      <c r="R160" s="63">
        <v>2021</v>
      </c>
      <c r="S160" s="64">
        <v>0.09</v>
      </c>
      <c r="T160" s="232" t="s">
        <v>13</v>
      </c>
      <c r="U160" s="222" t="s">
        <v>1554</v>
      </c>
      <c r="V160" s="223">
        <v>30520</v>
      </c>
      <c r="W160" s="223">
        <f t="shared" si="42"/>
        <v>424838.39999999997</v>
      </c>
      <c r="X160" s="223">
        <f t="shared" ref="X160:X161" si="43">ROUND(+W160,2)</f>
        <v>424838.40000000002</v>
      </c>
      <c r="Y160" s="224"/>
      <c r="Z160" s="167"/>
      <c r="AA160" s="3"/>
    </row>
    <row r="161" spans="1:27" s="33" customFormat="1" ht="75" x14ac:dyDescent="0.2">
      <c r="A161" s="41"/>
      <c r="B161" s="218">
        <v>147</v>
      </c>
      <c r="C161" s="218">
        <v>189001</v>
      </c>
      <c r="D161" s="218">
        <v>200912</v>
      </c>
      <c r="E161" s="227" t="s">
        <v>389</v>
      </c>
      <c r="F161" s="219" t="s">
        <v>1424</v>
      </c>
      <c r="G161" s="228" t="s">
        <v>1421</v>
      </c>
      <c r="H161" s="228" t="s">
        <v>1422</v>
      </c>
      <c r="I161" s="118" t="s">
        <v>1423</v>
      </c>
      <c r="J161" s="59">
        <v>1500000</v>
      </c>
      <c r="K161" s="60" t="s">
        <v>16</v>
      </c>
      <c r="L161" s="60">
        <v>9323</v>
      </c>
      <c r="M161" s="60" t="s">
        <v>1528</v>
      </c>
      <c r="N161" s="61">
        <v>1097550</v>
      </c>
      <c r="O161" s="62">
        <v>4065</v>
      </c>
      <c r="P161" s="59">
        <v>1273100</v>
      </c>
      <c r="Q161" s="59">
        <f t="shared" si="34"/>
        <v>313.18573185731856</v>
      </c>
      <c r="R161" s="63">
        <v>2021</v>
      </c>
      <c r="S161" s="64">
        <v>0.15</v>
      </c>
      <c r="T161" s="222" t="s">
        <v>1554</v>
      </c>
      <c r="U161" s="222" t="s">
        <v>1554</v>
      </c>
      <c r="V161" s="223">
        <f>1273100/1.16</f>
        <v>1097500</v>
      </c>
      <c r="W161" s="223">
        <f t="shared" si="42"/>
        <v>15277200</v>
      </c>
      <c r="X161" s="223">
        <f t="shared" si="43"/>
        <v>15277200</v>
      </c>
      <c r="Y161" s="224"/>
      <c r="Z161" s="167">
        <f>SUM(X158:X161)</f>
        <v>15871689.24</v>
      </c>
      <c r="AA161" s="3"/>
    </row>
    <row r="162" spans="1:27" s="34" customFormat="1" ht="56.25" x14ac:dyDescent="0.2">
      <c r="A162" s="41"/>
      <c r="B162" s="290">
        <v>148</v>
      </c>
      <c r="C162" s="290">
        <v>198002</v>
      </c>
      <c r="D162" s="290">
        <v>920201</v>
      </c>
      <c r="E162" s="297" t="s">
        <v>395</v>
      </c>
      <c r="F162" s="291" t="s">
        <v>678</v>
      </c>
      <c r="G162" s="299" t="s">
        <v>237</v>
      </c>
      <c r="H162" s="299" t="s">
        <v>396</v>
      </c>
      <c r="I162" s="65" t="s">
        <v>120</v>
      </c>
      <c r="J162" s="59">
        <v>23400</v>
      </c>
      <c r="K162" s="60">
        <v>9</v>
      </c>
      <c r="L162" s="60" t="s">
        <v>1063</v>
      </c>
      <c r="M162" s="60" t="s">
        <v>1064</v>
      </c>
      <c r="N162" s="61">
        <v>24300</v>
      </c>
      <c r="O162" s="62">
        <v>900</v>
      </c>
      <c r="P162" s="59">
        <v>23400</v>
      </c>
      <c r="Q162" s="59">
        <f t="shared" si="34"/>
        <v>26</v>
      </c>
      <c r="R162" s="63" t="s">
        <v>1334</v>
      </c>
      <c r="S162" s="64" t="s">
        <v>16</v>
      </c>
      <c r="T162" s="300" t="s">
        <v>11</v>
      </c>
      <c r="U162" s="300" t="s">
        <v>11</v>
      </c>
      <c r="V162" s="295">
        <v>23400</v>
      </c>
      <c r="W162" s="295">
        <f t="shared" si="42"/>
        <v>325727.99999999994</v>
      </c>
      <c r="X162" s="295">
        <f>ROUND(+V162*1.15*12*1.16,2)</f>
        <v>374587.2</v>
      </c>
      <c r="Y162" s="296" t="s">
        <v>1566</v>
      </c>
      <c r="Z162" s="167">
        <f>+X162</f>
        <v>374587.2</v>
      </c>
      <c r="AA162" s="19"/>
    </row>
    <row r="163" spans="1:27" s="34" customFormat="1" ht="75" x14ac:dyDescent="0.2">
      <c r="A163" s="41"/>
      <c r="B163" s="218">
        <v>149</v>
      </c>
      <c r="C163" s="218">
        <v>202442</v>
      </c>
      <c r="D163" s="218">
        <v>200222</v>
      </c>
      <c r="E163" s="227" t="s">
        <v>400</v>
      </c>
      <c r="F163" s="219" t="s">
        <v>679</v>
      </c>
      <c r="G163" s="228" t="s">
        <v>585</v>
      </c>
      <c r="H163" s="228" t="s">
        <v>870</v>
      </c>
      <c r="I163" s="65" t="s">
        <v>121</v>
      </c>
      <c r="J163" s="59" t="s">
        <v>122</v>
      </c>
      <c r="K163" s="60">
        <v>33</v>
      </c>
      <c r="L163" s="60" t="s">
        <v>1075</v>
      </c>
      <c r="M163" s="60" t="s">
        <v>1076</v>
      </c>
      <c r="N163" s="61">
        <v>4243</v>
      </c>
      <c r="O163" s="62">
        <v>97</v>
      </c>
      <c r="P163" s="59">
        <v>7000</v>
      </c>
      <c r="Q163" s="59">
        <f t="shared" si="34"/>
        <v>72.164948453608247</v>
      </c>
      <c r="R163" s="63">
        <v>2020</v>
      </c>
      <c r="S163" s="64">
        <v>1.02</v>
      </c>
      <c r="T163" s="222" t="s">
        <v>1554</v>
      </c>
      <c r="U163" s="222" t="s">
        <v>1554</v>
      </c>
      <c r="V163" s="223">
        <v>7000</v>
      </c>
      <c r="W163" s="223">
        <f t="shared" si="42"/>
        <v>97439.999999999985</v>
      </c>
      <c r="X163" s="223">
        <f t="shared" ref="X163:X165" si="44">ROUND(+W163,2)</f>
        <v>97440</v>
      </c>
      <c r="Y163" s="224"/>
      <c r="Z163" s="167"/>
      <c r="AA163" s="19"/>
    </row>
    <row r="164" spans="1:27" ht="75" x14ac:dyDescent="0.2">
      <c r="B164" s="218">
        <v>150</v>
      </c>
      <c r="C164" s="218">
        <v>205307</v>
      </c>
      <c r="D164" s="218">
        <v>310203</v>
      </c>
      <c r="E164" s="227" t="s">
        <v>400</v>
      </c>
      <c r="F164" s="219" t="s">
        <v>680</v>
      </c>
      <c r="G164" s="228" t="s">
        <v>398</v>
      </c>
      <c r="H164" s="246" t="s">
        <v>402</v>
      </c>
      <c r="I164" s="65" t="s">
        <v>123</v>
      </c>
      <c r="J164" s="59">
        <v>11550</v>
      </c>
      <c r="K164" s="60">
        <v>23</v>
      </c>
      <c r="L164" s="60">
        <v>9332</v>
      </c>
      <c r="M164" s="60" t="s">
        <v>1539</v>
      </c>
      <c r="N164" s="61">
        <v>126249</v>
      </c>
      <c r="O164" s="62">
        <v>882</v>
      </c>
      <c r="P164" s="59">
        <v>33327.839999999997</v>
      </c>
      <c r="Q164" s="59">
        <f t="shared" si="34"/>
        <v>37.786666666666662</v>
      </c>
      <c r="R164" s="63">
        <v>2021</v>
      </c>
      <c r="S164" s="64">
        <v>0.68</v>
      </c>
      <c r="T164" s="232" t="s">
        <v>13</v>
      </c>
      <c r="U164" s="222" t="s">
        <v>1554</v>
      </c>
      <c r="V164" s="223">
        <v>33327.839999999997</v>
      </c>
      <c r="W164" s="223">
        <f t="shared" si="42"/>
        <v>463923.53279999993</v>
      </c>
      <c r="X164" s="223">
        <f t="shared" si="44"/>
        <v>463923.53</v>
      </c>
      <c r="Y164" s="224"/>
      <c r="Z164" s="167"/>
    </row>
    <row r="165" spans="1:27" s="34" customFormat="1" ht="75" x14ac:dyDescent="0.2">
      <c r="A165" s="41"/>
      <c r="B165" s="218">
        <v>151</v>
      </c>
      <c r="C165" s="218">
        <v>209105</v>
      </c>
      <c r="D165" s="218">
        <v>900110</v>
      </c>
      <c r="E165" s="227" t="s">
        <v>400</v>
      </c>
      <c r="F165" s="219" t="s">
        <v>681</v>
      </c>
      <c r="G165" s="228" t="s">
        <v>305</v>
      </c>
      <c r="H165" s="228" t="s">
        <v>645</v>
      </c>
      <c r="I165" s="65" t="s">
        <v>125</v>
      </c>
      <c r="J165" s="59">
        <v>19690</v>
      </c>
      <c r="K165" s="60">
        <v>9</v>
      </c>
      <c r="L165" s="119">
        <v>8799</v>
      </c>
      <c r="M165" s="60" t="s">
        <v>1450</v>
      </c>
      <c r="N165" s="61">
        <v>77016</v>
      </c>
      <c r="O165" s="62">
        <v>673.75</v>
      </c>
      <c r="P165" s="59">
        <v>42000</v>
      </c>
      <c r="Q165" s="59">
        <f t="shared" si="34"/>
        <v>62.337662337662337</v>
      </c>
      <c r="R165" s="63">
        <v>2020</v>
      </c>
      <c r="S165" s="64">
        <v>0.2</v>
      </c>
      <c r="T165" s="222" t="s">
        <v>1554</v>
      </c>
      <c r="U165" s="222" t="s">
        <v>1554</v>
      </c>
      <c r="V165" s="223">
        <v>42000</v>
      </c>
      <c r="W165" s="223">
        <f t="shared" si="42"/>
        <v>584640</v>
      </c>
      <c r="X165" s="223">
        <f t="shared" si="44"/>
        <v>584640</v>
      </c>
      <c r="Y165" s="224"/>
      <c r="Z165" s="167"/>
      <c r="AA165" s="19"/>
    </row>
    <row r="166" spans="1:27" ht="112.5" x14ac:dyDescent="0.2">
      <c r="B166" s="262">
        <v>152</v>
      </c>
      <c r="C166" s="262">
        <v>209106</v>
      </c>
      <c r="D166" s="262">
        <v>900100</v>
      </c>
      <c r="E166" s="269" t="s">
        <v>400</v>
      </c>
      <c r="F166" s="263" t="s">
        <v>682</v>
      </c>
      <c r="G166" s="271" t="s">
        <v>305</v>
      </c>
      <c r="H166" s="271" t="s">
        <v>403</v>
      </c>
      <c r="I166" s="65" t="s">
        <v>47</v>
      </c>
      <c r="J166" s="59">
        <v>90000</v>
      </c>
      <c r="K166" s="60">
        <v>14</v>
      </c>
      <c r="L166" s="60" t="s">
        <v>1077</v>
      </c>
      <c r="M166" s="60" t="s">
        <v>1078</v>
      </c>
      <c r="N166" s="61">
        <v>119629</v>
      </c>
      <c r="O166" s="62">
        <v>1501.75</v>
      </c>
      <c r="P166" s="59">
        <v>90000</v>
      </c>
      <c r="Q166" s="59">
        <f t="shared" si="34"/>
        <v>59.930081571499919</v>
      </c>
      <c r="R166" s="63" t="s">
        <v>1334</v>
      </c>
      <c r="S166" s="64" t="s">
        <v>16</v>
      </c>
      <c r="T166" s="272" t="s">
        <v>13</v>
      </c>
      <c r="U166" s="272" t="s">
        <v>13</v>
      </c>
      <c r="V166" s="267">
        <v>90000</v>
      </c>
      <c r="W166" s="267">
        <f t="shared" si="42"/>
        <v>1252800</v>
      </c>
      <c r="X166" s="267">
        <f>ROUND(+V166*1.16*12*1.1,2)</f>
        <v>1378080</v>
      </c>
      <c r="Y166" s="268" t="s">
        <v>1567</v>
      </c>
      <c r="Z166" s="167"/>
    </row>
    <row r="167" spans="1:27" ht="75" x14ac:dyDescent="0.2">
      <c r="B167" s="218">
        <v>153</v>
      </c>
      <c r="C167" s="218">
        <v>208002</v>
      </c>
      <c r="D167" s="218">
        <v>920201</v>
      </c>
      <c r="E167" s="227" t="s">
        <v>400</v>
      </c>
      <c r="F167" s="219" t="s">
        <v>683</v>
      </c>
      <c r="G167" s="228" t="s">
        <v>401</v>
      </c>
      <c r="H167" s="228" t="s">
        <v>404</v>
      </c>
      <c r="I167" s="65" t="s">
        <v>126</v>
      </c>
      <c r="J167" s="59">
        <v>34958</v>
      </c>
      <c r="K167" s="60">
        <v>23</v>
      </c>
      <c r="L167" s="60">
        <v>9436</v>
      </c>
      <c r="M167" s="60" t="s">
        <v>1543</v>
      </c>
      <c r="N167" s="61">
        <v>245920</v>
      </c>
      <c r="O167" s="62">
        <v>1718.28</v>
      </c>
      <c r="P167" s="59">
        <v>100261.63</v>
      </c>
      <c r="Q167" s="59">
        <f t="shared" si="34"/>
        <v>58.349995344181394</v>
      </c>
      <c r="R167" s="63">
        <v>2021</v>
      </c>
      <c r="S167" s="64">
        <v>0.46</v>
      </c>
      <c r="T167" s="232" t="s">
        <v>13</v>
      </c>
      <c r="U167" s="222" t="s">
        <v>1554</v>
      </c>
      <c r="V167" s="223">
        <v>100261.63</v>
      </c>
      <c r="W167" s="223">
        <f t="shared" si="42"/>
        <v>1395641.8895999999</v>
      </c>
      <c r="X167" s="223">
        <f t="shared" ref="X167:X168" si="45">ROUND(+W167,2)</f>
        <v>1395641.89</v>
      </c>
      <c r="Y167" s="224"/>
      <c r="Z167" s="167"/>
    </row>
    <row r="168" spans="1:27" ht="112.5" x14ac:dyDescent="0.2">
      <c r="B168" s="218">
        <v>154</v>
      </c>
      <c r="C168" s="225" t="s">
        <v>1552</v>
      </c>
      <c r="D168" s="225" t="s">
        <v>1282</v>
      </c>
      <c r="E168" s="227" t="s">
        <v>400</v>
      </c>
      <c r="F168" s="226" t="s">
        <v>1483</v>
      </c>
      <c r="G168" s="228" t="s">
        <v>1464</v>
      </c>
      <c r="H168" s="228" t="s">
        <v>1484</v>
      </c>
      <c r="I168" s="65" t="s">
        <v>1485</v>
      </c>
      <c r="J168" s="59">
        <v>12310</v>
      </c>
      <c r="K168" s="60" t="s">
        <v>16</v>
      </c>
      <c r="L168" s="60">
        <v>8954</v>
      </c>
      <c r="M168" s="60" t="s">
        <v>1478</v>
      </c>
      <c r="N168" s="61">
        <v>12310</v>
      </c>
      <c r="O168" s="62">
        <v>110.94</v>
      </c>
      <c r="P168" s="59">
        <v>12310</v>
      </c>
      <c r="Q168" s="59">
        <f t="shared" si="34"/>
        <v>110.96087975482243</v>
      </c>
      <c r="R168" s="63" t="s">
        <v>16</v>
      </c>
      <c r="S168" s="64" t="s">
        <v>16</v>
      </c>
      <c r="T168" s="222" t="s">
        <v>1554</v>
      </c>
      <c r="U168" s="222" t="s">
        <v>1554</v>
      </c>
      <c r="V168" s="223">
        <v>12310</v>
      </c>
      <c r="W168" s="223">
        <f>+V168*12</f>
        <v>147720</v>
      </c>
      <c r="X168" s="223">
        <f t="shared" si="45"/>
        <v>147720</v>
      </c>
      <c r="Y168" s="224"/>
      <c r="Z168" s="167">
        <f>SUM(X163:X168)</f>
        <v>4067445.42</v>
      </c>
    </row>
    <row r="169" spans="1:27" s="34" customFormat="1" ht="75" x14ac:dyDescent="0.2">
      <c r="A169" s="41"/>
      <c r="B169" s="262">
        <v>155</v>
      </c>
      <c r="C169" s="262">
        <v>212418</v>
      </c>
      <c r="D169" s="262">
        <v>200200</v>
      </c>
      <c r="E169" s="269" t="s">
        <v>405</v>
      </c>
      <c r="F169" s="270" t="s">
        <v>684</v>
      </c>
      <c r="G169" s="271" t="s">
        <v>406</v>
      </c>
      <c r="H169" s="271" t="s">
        <v>1341</v>
      </c>
      <c r="I169" s="65" t="s">
        <v>127</v>
      </c>
      <c r="J169" s="59">
        <v>5000</v>
      </c>
      <c r="K169" s="60">
        <v>21</v>
      </c>
      <c r="L169" s="60" t="s">
        <v>1079</v>
      </c>
      <c r="M169" s="60" t="s">
        <v>1080</v>
      </c>
      <c r="N169" s="61">
        <v>8787</v>
      </c>
      <c r="O169" s="62">
        <v>212.87</v>
      </c>
      <c r="P169" s="59">
        <v>6900</v>
      </c>
      <c r="Q169" s="59">
        <f t="shared" si="34"/>
        <v>32.414149480903838</v>
      </c>
      <c r="R169" s="63">
        <v>2018</v>
      </c>
      <c r="S169" s="64">
        <v>0.2</v>
      </c>
      <c r="T169" s="272" t="s">
        <v>13</v>
      </c>
      <c r="U169" s="272" t="s">
        <v>13</v>
      </c>
      <c r="V169" s="267">
        <v>6900</v>
      </c>
      <c r="W169" s="267">
        <f t="shared" ref="W169:W183" si="46">+V169*1.16*12</f>
        <v>96047.999999999985</v>
      </c>
      <c r="X169" s="267">
        <f>ROUND(+V169*1.16*12*1.1,2)</f>
        <v>105652.8</v>
      </c>
      <c r="Y169" s="268" t="s">
        <v>1567</v>
      </c>
      <c r="Z169" s="167"/>
      <c r="AA169" s="19"/>
    </row>
    <row r="170" spans="1:27" ht="75" x14ac:dyDescent="0.2">
      <c r="B170" s="218">
        <v>156</v>
      </c>
      <c r="C170" s="218">
        <v>212404</v>
      </c>
      <c r="D170" s="218">
        <v>200200</v>
      </c>
      <c r="E170" s="227" t="s">
        <v>405</v>
      </c>
      <c r="F170" s="226" t="s">
        <v>1411</v>
      </c>
      <c r="G170" s="228" t="s">
        <v>407</v>
      </c>
      <c r="H170" s="228" t="s">
        <v>1413</v>
      </c>
      <c r="I170" s="65" t="s">
        <v>1412</v>
      </c>
      <c r="J170" s="59">
        <v>7000</v>
      </c>
      <c r="K170" s="60">
        <v>1</v>
      </c>
      <c r="L170" s="60">
        <v>8580</v>
      </c>
      <c r="M170" s="60" t="s">
        <v>1414</v>
      </c>
      <c r="N170" s="61">
        <v>7142</v>
      </c>
      <c r="O170" s="62">
        <v>190</v>
      </c>
      <c r="P170" s="59">
        <v>7000</v>
      </c>
      <c r="Q170" s="59">
        <f t="shared" si="34"/>
        <v>36.842105263157897</v>
      </c>
      <c r="R170" s="63" t="s">
        <v>16</v>
      </c>
      <c r="S170" s="64" t="s">
        <v>16</v>
      </c>
      <c r="T170" s="222" t="s">
        <v>1554</v>
      </c>
      <c r="U170" s="222" t="s">
        <v>1554</v>
      </c>
      <c r="V170" s="223">
        <f>8120/1.16</f>
        <v>7000.0000000000009</v>
      </c>
      <c r="W170" s="223">
        <f t="shared" si="46"/>
        <v>97440.000000000015</v>
      </c>
      <c r="X170" s="223">
        <f>ROUND(+W170,2)</f>
        <v>97440</v>
      </c>
      <c r="Y170" s="224"/>
      <c r="Z170" s="167"/>
    </row>
    <row r="171" spans="1:27" ht="75" x14ac:dyDescent="0.2">
      <c r="B171" s="290">
        <v>157</v>
      </c>
      <c r="C171" s="290">
        <v>216301</v>
      </c>
      <c r="D171" s="290">
        <v>320200</v>
      </c>
      <c r="E171" s="297" t="s">
        <v>405</v>
      </c>
      <c r="F171" s="298" t="s">
        <v>685</v>
      </c>
      <c r="G171" s="299" t="s">
        <v>408</v>
      </c>
      <c r="H171" s="299" t="s">
        <v>410</v>
      </c>
      <c r="I171" s="65" t="s">
        <v>128</v>
      </c>
      <c r="J171" s="59">
        <v>100000</v>
      </c>
      <c r="K171" s="60">
        <v>12</v>
      </c>
      <c r="L171" s="60" t="s">
        <v>1081</v>
      </c>
      <c r="M171" s="60" t="s">
        <v>1082</v>
      </c>
      <c r="N171" s="61">
        <v>108327</v>
      </c>
      <c r="O171" s="62">
        <v>1348.49</v>
      </c>
      <c r="P171" s="59">
        <v>100000</v>
      </c>
      <c r="Q171" s="59">
        <f t="shared" si="34"/>
        <v>74.157020074305336</v>
      </c>
      <c r="R171" s="63" t="s">
        <v>1334</v>
      </c>
      <c r="S171" s="64" t="s">
        <v>16</v>
      </c>
      <c r="T171" s="300" t="s">
        <v>11</v>
      </c>
      <c r="U171" s="300" t="s">
        <v>11</v>
      </c>
      <c r="V171" s="295">
        <v>100000</v>
      </c>
      <c r="W171" s="295">
        <f t="shared" si="46"/>
        <v>1391999.9999999998</v>
      </c>
      <c r="X171" s="295">
        <f t="shared" ref="X171:X174" si="47">ROUND(+V171*1.15*12*1.16,2)</f>
        <v>1600800</v>
      </c>
      <c r="Y171" s="296" t="s">
        <v>1566</v>
      </c>
      <c r="Z171" s="167"/>
    </row>
    <row r="172" spans="1:27" ht="56.25" x14ac:dyDescent="0.2">
      <c r="B172" s="290">
        <v>158</v>
      </c>
      <c r="C172" s="290">
        <v>215301</v>
      </c>
      <c r="D172" s="290" t="s">
        <v>1306</v>
      </c>
      <c r="E172" s="297" t="s">
        <v>405</v>
      </c>
      <c r="F172" s="298" t="s">
        <v>686</v>
      </c>
      <c r="G172" s="299" t="s">
        <v>292</v>
      </c>
      <c r="H172" s="299" t="s">
        <v>411</v>
      </c>
      <c r="I172" s="65" t="s">
        <v>129</v>
      </c>
      <c r="J172" s="59">
        <v>35000</v>
      </c>
      <c r="K172" s="60">
        <v>18</v>
      </c>
      <c r="L172" s="60" t="s">
        <v>1083</v>
      </c>
      <c r="M172" s="60" t="s">
        <v>1084</v>
      </c>
      <c r="N172" s="61">
        <v>48195</v>
      </c>
      <c r="O172" s="62">
        <v>625.23</v>
      </c>
      <c r="P172" s="59">
        <v>40425</v>
      </c>
      <c r="Q172" s="59">
        <f t="shared" si="34"/>
        <v>64.656206516002115</v>
      </c>
      <c r="R172" s="63">
        <v>2008</v>
      </c>
      <c r="S172" s="64">
        <v>5.0000000000000044E-2</v>
      </c>
      <c r="T172" s="300" t="s">
        <v>11</v>
      </c>
      <c r="U172" s="300" t="s">
        <v>11</v>
      </c>
      <c r="V172" s="295">
        <v>40425</v>
      </c>
      <c r="W172" s="295">
        <f t="shared" si="46"/>
        <v>562716</v>
      </c>
      <c r="X172" s="295">
        <f t="shared" si="47"/>
        <v>647123.4</v>
      </c>
      <c r="Y172" s="296" t="s">
        <v>1566</v>
      </c>
      <c r="Z172" s="167"/>
    </row>
    <row r="173" spans="1:27" s="34" customFormat="1" ht="56.25" x14ac:dyDescent="0.2">
      <c r="A173" s="41"/>
      <c r="B173" s="290">
        <v>159</v>
      </c>
      <c r="C173" s="290">
        <v>219001</v>
      </c>
      <c r="D173" s="290">
        <v>140100</v>
      </c>
      <c r="E173" s="297" t="s">
        <v>405</v>
      </c>
      <c r="F173" s="298" t="s">
        <v>687</v>
      </c>
      <c r="G173" s="299" t="s">
        <v>623</v>
      </c>
      <c r="H173" s="299" t="s">
        <v>412</v>
      </c>
      <c r="I173" s="65" t="s">
        <v>130</v>
      </c>
      <c r="J173" s="59">
        <v>81900</v>
      </c>
      <c r="K173" s="60">
        <v>18</v>
      </c>
      <c r="L173" s="60" t="s">
        <v>1085</v>
      </c>
      <c r="M173" s="60" t="s">
        <v>1086</v>
      </c>
      <c r="N173" s="61">
        <v>103895</v>
      </c>
      <c r="O173" s="62">
        <v>1384.24</v>
      </c>
      <c r="P173" s="59">
        <v>91816.86</v>
      </c>
      <c r="Q173" s="59">
        <f t="shared" si="34"/>
        <v>66.330159509911581</v>
      </c>
      <c r="R173" s="63">
        <v>2018</v>
      </c>
      <c r="S173" s="64" t="s">
        <v>597</v>
      </c>
      <c r="T173" s="300" t="s">
        <v>13</v>
      </c>
      <c r="U173" s="300" t="s">
        <v>11</v>
      </c>
      <c r="V173" s="295">
        <v>91816.86</v>
      </c>
      <c r="W173" s="295">
        <f t="shared" si="46"/>
        <v>1278090.6912</v>
      </c>
      <c r="X173" s="295">
        <f t="shared" si="47"/>
        <v>1469804.29</v>
      </c>
      <c r="Y173" s="296" t="s">
        <v>1566</v>
      </c>
      <c r="Z173" s="167"/>
      <c r="AA173" s="19"/>
    </row>
    <row r="174" spans="1:27" s="34" customFormat="1" ht="56.25" x14ac:dyDescent="0.2">
      <c r="A174" s="41"/>
      <c r="B174" s="290">
        <v>160</v>
      </c>
      <c r="C174" s="290">
        <v>219101</v>
      </c>
      <c r="D174" s="290">
        <v>900110</v>
      </c>
      <c r="E174" s="297" t="s">
        <v>405</v>
      </c>
      <c r="F174" s="298" t="s">
        <v>688</v>
      </c>
      <c r="G174" s="299" t="s">
        <v>227</v>
      </c>
      <c r="H174" s="299" t="s">
        <v>413</v>
      </c>
      <c r="I174" s="65" t="s">
        <v>131</v>
      </c>
      <c r="J174" s="59">
        <v>100000</v>
      </c>
      <c r="K174" s="60">
        <v>19</v>
      </c>
      <c r="L174" s="60" t="s">
        <v>1087</v>
      </c>
      <c r="M174" s="60" t="s">
        <v>1086</v>
      </c>
      <c r="N174" s="61">
        <v>136744</v>
      </c>
      <c r="O174" s="62">
        <v>2708.87</v>
      </c>
      <c r="P174" s="59">
        <v>112108.5</v>
      </c>
      <c r="Q174" s="59">
        <f t="shared" si="34"/>
        <v>41.385706955298708</v>
      </c>
      <c r="R174" s="63">
        <v>2018</v>
      </c>
      <c r="S174" s="64" t="s">
        <v>597</v>
      </c>
      <c r="T174" s="300" t="s">
        <v>13</v>
      </c>
      <c r="U174" s="300" t="s">
        <v>11</v>
      </c>
      <c r="V174" s="295">
        <v>112108.5</v>
      </c>
      <c r="W174" s="295">
        <f t="shared" si="46"/>
        <v>1560550.3199999998</v>
      </c>
      <c r="X174" s="295">
        <f t="shared" si="47"/>
        <v>1794632.87</v>
      </c>
      <c r="Y174" s="296" t="s">
        <v>1566</v>
      </c>
      <c r="Z174" s="167"/>
      <c r="AA174" s="19"/>
    </row>
    <row r="175" spans="1:27" s="34" customFormat="1" ht="56.25" x14ac:dyDescent="0.2">
      <c r="A175" s="41"/>
      <c r="B175" s="262">
        <v>161</v>
      </c>
      <c r="C175" s="262">
        <v>219103</v>
      </c>
      <c r="D175" s="262">
        <v>900110</v>
      </c>
      <c r="E175" s="269" t="s">
        <v>405</v>
      </c>
      <c r="F175" s="270" t="s">
        <v>689</v>
      </c>
      <c r="G175" s="271" t="s">
        <v>227</v>
      </c>
      <c r="H175" s="271" t="s">
        <v>414</v>
      </c>
      <c r="I175" s="65" t="s">
        <v>132</v>
      </c>
      <c r="J175" s="59">
        <v>5500</v>
      </c>
      <c r="K175" s="60">
        <v>25</v>
      </c>
      <c r="L175" s="60" t="s">
        <v>1088</v>
      </c>
      <c r="M175" s="60" t="s">
        <v>1089</v>
      </c>
      <c r="N175" s="61">
        <v>15961</v>
      </c>
      <c r="O175" s="62">
        <v>762.64</v>
      </c>
      <c r="P175" s="59">
        <v>14510</v>
      </c>
      <c r="Q175" s="59">
        <f t="shared" si="34"/>
        <v>19.026014895625721</v>
      </c>
      <c r="R175" s="63">
        <v>2018</v>
      </c>
      <c r="S175" s="64" t="s">
        <v>597</v>
      </c>
      <c r="T175" s="272" t="s">
        <v>13</v>
      </c>
      <c r="U175" s="272" t="s">
        <v>13</v>
      </c>
      <c r="V175" s="267">
        <v>14510</v>
      </c>
      <c r="W175" s="267">
        <f t="shared" si="46"/>
        <v>201979.19999999998</v>
      </c>
      <c r="X175" s="267">
        <f>ROUND(+V175*1.16*12*1.1,2)</f>
        <v>222177.12</v>
      </c>
      <c r="Y175" s="268" t="s">
        <v>1567</v>
      </c>
      <c r="Z175" s="167"/>
      <c r="AA175" s="19"/>
    </row>
    <row r="176" spans="1:27" s="34" customFormat="1" ht="93.75" x14ac:dyDescent="0.2">
      <c r="A176" s="41"/>
      <c r="B176" s="290">
        <v>162</v>
      </c>
      <c r="C176" s="290">
        <v>219001</v>
      </c>
      <c r="D176" s="290">
        <v>200100</v>
      </c>
      <c r="E176" s="297" t="s">
        <v>405</v>
      </c>
      <c r="F176" s="307" t="s">
        <v>690</v>
      </c>
      <c r="G176" s="299" t="s">
        <v>626</v>
      </c>
      <c r="H176" s="308" t="s">
        <v>415</v>
      </c>
      <c r="I176" s="65" t="s">
        <v>133</v>
      </c>
      <c r="J176" s="59">
        <v>19000</v>
      </c>
      <c r="K176" s="60">
        <v>18</v>
      </c>
      <c r="L176" s="60" t="s">
        <v>1090</v>
      </c>
      <c r="M176" s="60" t="s">
        <v>190</v>
      </c>
      <c r="N176" s="61">
        <v>46613</v>
      </c>
      <c r="O176" s="62">
        <v>540</v>
      </c>
      <c r="P176" s="59">
        <v>36500</v>
      </c>
      <c r="Q176" s="59">
        <f t="shared" si="34"/>
        <v>67.592592592592595</v>
      </c>
      <c r="R176" s="63">
        <v>2008</v>
      </c>
      <c r="S176" s="64">
        <v>5.0000000000000044E-2</v>
      </c>
      <c r="T176" s="300" t="s">
        <v>13</v>
      </c>
      <c r="U176" s="300" t="s">
        <v>11</v>
      </c>
      <c r="V176" s="295">
        <v>36500</v>
      </c>
      <c r="W176" s="295">
        <f t="shared" si="46"/>
        <v>508080</v>
      </c>
      <c r="X176" s="295">
        <f>ROUND(+V176*1.15*12*1.16,2)</f>
        <v>584292</v>
      </c>
      <c r="Y176" s="296" t="s">
        <v>1566</v>
      </c>
      <c r="Z176" s="167"/>
      <c r="AA176" s="19"/>
    </row>
    <row r="177" spans="1:27" ht="56.25" x14ac:dyDescent="0.2">
      <c r="B177" s="262">
        <v>163</v>
      </c>
      <c r="C177" s="262">
        <v>215903</v>
      </c>
      <c r="D177" s="262">
        <v>380200</v>
      </c>
      <c r="E177" s="269" t="s">
        <v>405</v>
      </c>
      <c r="F177" s="270" t="s">
        <v>691</v>
      </c>
      <c r="G177" s="271" t="s">
        <v>1362</v>
      </c>
      <c r="H177" s="271" t="s">
        <v>416</v>
      </c>
      <c r="I177" s="65" t="s">
        <v>134</v>
      </c>
      <c r="J177" s="59">
        <v>900</v>
      </c>
      <c r="K177" s="60">
        <v>34</v>
      </c>
      <c r="L177" s="60" t="s">
        <v>1091</v>
      </c>
      <c r="M177" s="60" t="s">
        <v>1092</v>
      </c>
      <c r="N177" s="61">
        <v>9507</v>
      </c>
      <c r="O177" s="62">
        <v>741</v>
      </c>
      <c r="P177" s="59">
        <v>9350</v>
      </c>
      <c r="Q177" s="59">
        <f t="shared" si="34"/>
        <v>12.618083670715249</v>
      </c>
      <c r="R177" s="63">
        <v>2008</v>
      </c>
      <c r="S177" s="64">
        <v>3.9450191992564942E-2</v>
      </c>
      <c r="T177" s="272" t="s">
        <v>13</v>
      </c>
      <c r="U177" s="272" t="s">
        <v>13</v>
      </c>
      <c r="V177" s="267">
        <v>9350</v>
      </c>
      <c r="W177" s="267">
        <f t="shared" si="46"/>
        <v>130152</v>
      </c>
      <c r="X177" s="267">
        <f t="shared" ref="X177:X178" si="48">ROUND(+V177*1.16*12*1.1,2)</f>
        <v>143167.20000000001</v>
      </c>
      <c r="Y177" s="268" t="s">
        <v>1567</v>
      </c>
      <c r="Z177" s="167"/>
    </row>
    <row r="178" spans="1:27" ht="75" x14ac:dyDescent="0.2">
      <c r="B178" s="262">
        <v>164</v>
      </c>
      <c r="C178" s="262">
        <v>215904</v>
      </c>
      <c r="D178" s="262">
        <v>380200</v>
      </c>
      <c r="E178" s="269" t="s">
        <v>405</v>
      </c>
      <c r="F178" s="270" t="s">
        <v>881</v>
      </c>
      <c r="G178" s="271" t="s">
        <v>1363</v>
      </c>
      <c r="H178" s="271" t="s">
        <v>417</v>
      </c>
      <c r="I178" s="65" t="s">
        <v>135</v>
      </c>
      <c r="J178" s="59">
        <v>3000</v>
      </c>
      <c r="K178" s="60">
        <v>30</v>
      </c>
      <c r="L178" s="60" t="s">
        <v>1093</v>
      </c>
      <c r="M178" s="60" t="s">
        <v>1086</v>
      </c>
      <c r="N178" s="61">
        <v>14499</v>
      </c>
      <c r="O178" s="62">
        <v>718.85</v>
      </c>
      <c r="P178" s="59">
        <v>10866</v>
      </c>
      <c r="Q178" s="59">
        <f t="shared" si="34"/>
        <v>15.115809974264449</v>
      </c>
      <c r="R178" s="63">
        <v>2008</v>
      </c>
      <c r="S178" s="64">
        <v>4.9956517537926404E-2</v>
      </c>
      <c r="T178" s="272" t="s">
        <v>13</v>
      </c>
      <c r="U178" s="272" t="s">
        <v>13</v>
      </c>
      <c r="V178" s="267">
        <v>10866</v>
      </c>
      <c r="W178" s="267">
        <f t="shared" si="46"/>
        <v>151254.72</v>
      </c>
      <c r="X178" s="267">
        <f t="shared" si="48"/>
        <v>166380.19</v>
      </c>
      <c r="Y178" s="268" t="s">
        <v>1567</v>
      </c>
      <c r="Z178" s="167"/>
    </row>
    <row r="179" spans="1:27" ht="75" x14ac:dyDescent="0.2">
      <c r="B179" s="290">
        <v>165</v>
      </c>
      <c r="C179" s="290">
        <v>215905</v>
      </c>
      <c r="D179" s="290">
        <v>380200</v>
      </c>
      <c r="E179" s="297" t="s">
        <v>405</v>
      </c>
      <c r="F179" s="298" t="s">
        <v>882</v>
      </c>
      <c r="G179" s="299" t="s">
        <v>1364</v>
      </c>
      <c r="H179" s="299" t="s">
        <v>418</v>
      </c>
      <c r="I179" s="65" t="s">
        <v>136</v>
      </c>
      <c r="J179" s="59">
        <v>6000</v>
      </c>
      <c r="K179" s="60">
        <v>23</v>
      </c>
      <c r="L179" s="60" t="s">
        <v>1094</v>
      </c>
      <c r="M179" s="60" t="s">
        <v>1095</v>
      </c>
      <c r="N179" s="61">
        <v>17191</v>
      </c>
      <c r="O179" s="62">
        <v>1082.9000000000001</v>
      </c>
      <c r="P179" s="59">
        <v>8476</v>
      </c>
      <c r="Q179" s="59">
        <f t="shared" si="34"/>
        <v>7.827130852340936</v>
      </c>
      <c r="R179" s="63">
        <v>2007</v>
      </c>
      <c r="S179" s="64">
        <v>0.05</v>
      </c>
      <c r="T179" s="300" t="s">
        <v>13</v>
      </c>
      <c r="U179" s="300" t="s">
        <v>11</v>
      </c>
      <c r="V179" s="295">
        <v>8476</v>
      </c>
      <c r="W179" s="295">
        <f t="shared" si="46"/>
        <v>117985.92</v>
      </c>
      <c r="X179" s="295">
        <f>ROUND(+V179*1.15*12*1.16,2)</f>
        <v>135683.81</v>
      </c>
      <c r="Y179" s="296" t="s">
        <v>1566</v>
      </c>
      <c r="Z179" s="167"/>
    </row>
    <row r="180" spans="1:27" ht="56.25" x14ac:dyDescent="0.2">
      <c r="B180" s="262">
        <v>166</v>
      </c>
      <c r="C180" s="262">
        <v>215907</v>
      </c>
      <c r="D180" s="262">
        <v>380200</v>
      </c>
      <c r="E180" s="269" t="s">
        <v>405</v>
      </c>
      <c r="F180" s="270" t="s">
        <v>692</v>
      </c>
      <c r="G180" s="271" t="s">
        <v>1365</v>
      </c>
      <c r="H180" s="271" t="s">
        <v>419</v>
      </c>
      <c r="I180" s="65" t="s">
        <v>137</v>
      </c>
      <c r="J180" s="59">
        <v>9000</v>
      </c>
      <c r="K180" s="60">
        <v>22</v>
      </c>
      <c r="L180" s="60" t="s">
        <v>1096</v>
      </c>
      <c r="M180" s="60" t="s">
        <v>1084</v>
      </c>
      <c r="N180" s="61">
        <v>15054</v>
      </c>
      <c r="O180" s="62">
        <v>817.92</v>
      </c>
      <c r="P180" s="59">
        <v>12798</v>
      </c>
      <c r="Q180" s="59">
        <f t="shared" si="34"/>
        <v>15.647007042253522</v>
      </c>
      <c r="R180" s="63">
        <v>2008</v>
      </c>
      <c r="S180" s="64">
        <v>0.05</v>
      </c>
      <c r="T180" s="272" t="s">
        <v>13</v>
      </c>
      <c r="U180" s="272" t="s">
        <v>13</v>
      </c>
      <c r="V180" s="267">
        <v>12798</v>
      </c>
      <c r="W180" s="267">
        <f t="shared" si="46"/>
        <v>178148.15999999997</v>
      </c>
      <c r="X180" s="267">
        <f t="shared" ref="X180:X181" si="49">ROUND(+V180*1.16*12*1.1,2)</f>
        <v>195962.98</v>
      </c>
      <c r="Y180" s="268" t="s">
        <v>1567</v>
      </c>
      <c r="Z180" s="167"/>
    </row>
    <row r="181" spans="1:27" ht="56.25" x14ac:dyDescent="0.2">
      <c r="B181" s="262">
        <v>167</v>
      </c>
      <c r="C181" s="262">
        <v>215906</v>
      </c>
      <c r="D181" s="262">
        <v>380200</v>
      </c>
      <c r="E181" s="269" t="s">
        <v>405</v>
      </c>
      <c r="F181" s="270" t="s">
        <v>693</v>
      </c>
      <c r="G181" s="271" t="s">
        <v>1366</v>
      </c>
      <c r="H181" s="271" t="s">
        <v>420</v>
      </c>
      <c r="I181" s="65" t="s">
        <v>138</v>
      </c>
      <c r="J181" s="59">
        <v>14000</v>
      </c>
      <c r="K181" s="60">
        <v>20</v>
      </c>
      <c r="L181" s="60" t="s">
        <v>1097</v>
      </c>
      <c r="M181" s="60" t="s">
        <v>1089</v>
      </c>
      <c r="N181" s="61">
        <v>14700</v>
      </c>
      <c r="O181" s="62">
        <v>515.33000000000004</v>
      </c>
      <c r="P181" s="59">
        <v>14700</v>
      </c>
      <c r="Q181" s="59">
        <f t="shared" si="34"/>
        <v>28.525410901752274</v>
      </c>
      <c r="R181" s="63">
        <v>2008</v>
      </c>
      <c r="S181" s="64">
        <v>0.05</v>
      </c>
      <c r="T181" s="272" t="s">
        <v>13</v>
      </c>
      <c r="U181" s="272" t="s">
        <v>13</v>
      </c>
      <c r="V181" s="267">
        <v>14700</v>
      </c>
      <c r="W181" s="267">
        <f t="shared" si="46"/>
        <v>204624</v>
      </c>
      <c r="X181" s="267">
        <f t="shared" si="49"/>
        <v>225086.4</v>
      </c>
      <c r="Y181" s="268" t="s">
        <v>1567</v>
      </c>
      <c r="Z181" s="167"/>
    </row>
    <row r="182" spans="1:27" ht="75" x14ac:dyDescent="0.2">
      <c r="B182" s="290">
        <v>168</v>
      </c>
      <c r="C182" s="290">
        <v>215901</v>
      </c>
      <c r="D182" s="290">
        <v>380200</v>
      </c>
      <c r="E182" s="297" t="s">
        <v>405</v>
      </c>
      <c r="F182" s="298" t="s">
        <v>694</v>
      </c>
      <c r="G182" s="299" t="s">
        <v>1367</v>
      </c>
      <c r="H182" s="299" t="s">
        <v>421</v>
      </c>
      <c r="I182" s="65" t="s">
        <v>139</v>
      </c>
      <c r="J182" s="59">
        <v>31875</v>
      </c>
      <c r="K182" s="60">
        <v>33</v>
      </c>
      <c r="L182" s="60" t="s">
        <v>1098</v>
      </c>
      <c r="M182" s="60" t="s">
        <v>1099</v>
      </c>
      <c r="N182" s="61">
        <v>48746</v>
      </c>
      <c r="O182" s="62">
        <v>973.07</v>
      </c>
      <c r="P182" s="59">
        <v>47308</v>
      </c>
      <c r="Q182" s="59">
        <f t="shared" si="34"/>
        <v>48.617262889617393</v>
      </c>
      <c r="R182" s="63">
        <v>2007</v>
      </c>
      <c r="S182" s="64">
        <v>0.05</v>
      </c>
      <c r="T182" s="300" t="s">
        <v>13</v>
      </c>
      <c r="U182" s="300" t="s">
        <v>11</v>
      </c>
      <c r="V182" s="295">
        <v>47308</v>
      </c>
      <c r="W182" s="295">
        <f t="shared" si="46"/>
        <v>658527.36</v>
      </c>
      <c r="X182" s="295">
        <f>ROUND(+V182*1.15*12*1.16,2)</f>
        <v>757306.46</v>
      </c>
      <c r="Y182" s="296" t="s">
        <v>1566</v>
      </c>
      <c r="Z182" s="167"/>
    </row>
    <row r="183" spans="1:27" ht="75" x14ac:dyDescent="0.2">
      <c r="B183" s="262">
        <v>169</v>
      </c>
      <c r="C183" s="262">
        <v>212702</v>
      </c>
      <c r="D183" s="262">
        <v>200200</v>
      </c>
      <c r="E183" s="269" t="s">
        <v>405</v>
      </c>
      <c r="F183" s="263" t="s">
        <v>695</v>
      </c>
      <c r="G183" s="271" t="s">
        <v>409</v>
      </c>
      <c r="H183" s="284" t="s">
        <v>422</v>
      </c>
      <c r="I183" s="65" t="s">
        <v>124</v>
      </c>
      <c r="J183" s="59">
        <v>6500</v>
      </c>
      <c r="K183" s="60">
        <v>10</v>
      </c>
      <c r="L183" s="60" t="s">
        <v>1100</v>
      </c>
      <c r="M183" s="60" t="s">
        <v>1101</v>
      </c>
      <c r="N183" s="61">
        <v>6820.5</v>
      </c>
      <c r="O183" s="62">
        <v>140.74</v>
      </c>
      <c r="P183" s="59">
        <v>6820.5</v>
      </c>
      <c r="Q183" s="59">
        <f t="shared" si="34"/>
        <v>48.461702430012785</v>
      </c>
      <c r="R183" s="63" t="s">
        <v>1334</v>
      </c>
      <c r="S183" s="64" t="s">
        <v>16</v>
      </c>
      <c r="T183" s="272" t="s">
        <v>11</v>
      </c>
      <c r="U183" s="272" t="s">
        <v>13</v>
      </c>
      <c r="V183" s="267">
        <v>6820.5</v>
      </c>
      <c r="W183" s="267">
        <f t="shared" si="46"/>
        <v>94941.36</v>
      </c>
      <c r="X183" s="267">
        <f>ROUND(+V183*1.16*12*1.1,2)</f>
        <v>104435.5</v>
      </c>
      <c r="Y183" s="268" t="s">
        <v>1567</v>
      </c>
      <c r="Z183" s="167"/>
    </row>
    <row r="184" spans="1:27" ht="75" x14ac:dyDescent="0.2">
      <c r="B184" s="218">
        <v>170</v>
      </c>
      <c r="C184" s="218">
        <v>219001</v>
      </c>
      <c r="D184" s="225" t="s">
        <v>1282</v>
      </c>
      <c r="E184" s="227" t="s">
        <v>405</v>
      </c>
      <c r="F184" s="219" t="s">
        <v>1467</v>
      </c>
      <c r="G184" s="228" t="s">
        <v>1464</v>
      </c>
      <c r="H184" s="230" t="s">
        <v>1468</v>
      </c>
      <c r="I184" s="65" t="s">
        <v>1466</v>
      </c>
      <c r="J184" s="59">
        <v>22500</v>
      </c>
      <c r="K184" s="60" t="s">
        <v>16</v>
      </c>
      <c r="L184" s="63">
        <v>9056</v>
      </c>
      <c r="M184" s="60" t="s">
        <v>1469</v>
      </c>
      <c r="N184" s="61">
        <v>31129</v>
      </c>
      <c r="O184" s="62">
        <v>153.63999999999999</v>
      </c>
      <c r="P184" s="59">
        <v>22500</v>
      </c>
      <c r="Q184" s="59">
        <f t="shared" si="34"/>
        <v>146.44623795886488</v>
      </c>
      <c r="R184" s="63" t="s">
        <v>16</v>
      </c>
      <c r="S184" s="64" t="s">
        <v>16</v>
      </c>
      <c r="T184" s="222" t="s">
        <v>1554</v>
      </c>
      <c r="U184" s="222" t="s">
        <v>1554</v>
      </c>
      <c r="V184" s="223">
        <v>22500</v>
      </c>
      <c r="W184" s="223">
        <f>+V184*12</f>
        <v>270000</v>
      </c>
      <c r="X184" s="223">
        <f t="shared" ref="X184:X185" si="50">ROUND(+W184,2)</f>
        <v>270000</v>
      </c>
      <c r="Y184" s="224"/>
      <c r="Z184" s="167">
        <f>SUM(X169:X184)</f>
        <v>8519945.0200000014</v>
      </c>
    </row>
    <row r="185" spans="1:27" ht="56.25" x14ac:dyDescent="0.2">
      <c r="B185" s="218">
        <v>171</v>
      </c>
      <c r="C185" s="218" t="s">
        <v>1307</v>
      </c>
      <c r="D185" s="218" t="s">
        <v>1308</v>
      </c>
      <c r="E185" s="227" t="s">
        <v>423</v>
      </c>
      <c r="F185" s="219" t="s">
        <v>1456</v>
      </c>
      <c r="G185" s="228" t="s">
        <v>424</v>
      </c>
      <c r="H185" s="228" t="s">
        <v>1457</v>
      </c>
      <c r="I185" s="65" t="s">
        <v>1458</v>
      </c>
      <c r="J185" s="59">
        <v>66500</v>
      </c>
      <c r="K185" s="60" t="s">
        <v>16</v>
      </c>
      <c r="L185" s="60" t="s">
        <v>1459</v>
      </c>
      <c r="M185" s="60" t="s">
        <v>1423</v>
      </c>
      <c r="N185" s="61">
        <v>74000</v>
      </c>
      <c r="O185" s="62">
        <v>667.43</v>
      </c>
      <c r="P185" s="59">
        <v>66500</v>
      </c>
      <c r="Q185" s="59">
        <f t="shared" si="34"/>
        <v>99.635916875177926</v>
      </c>
      <c r="R185" s="63" t="s">
        <v>16</v>
      </c>
      <c r="S185" s="64" t="s">
        <v>16</v>
      </c>
      <c r="T185" s="222" t="s">
        <v>1554</v>
      </c>
      <c r="U185" s="222" t="s">
        <v>1554</v>
      </c>
      <c r="V185" s="223">
        <v>66500</v>
      </c>
      <c r="W185" s="223">
        <f t="shared" ref="W185:W193" si="51">+V185*1.16*12</f>
        <v>925680</v>
      </c>
      <c r="X185" s="223">
        <f t="shared" si="50"/>
        <v>925680</v>
      </c>
      <c r="Y185" s="224"/>
      <c r="Z185" s="167"/>
    </row>
    <row r="186" spans="1:27" s="34" customFormat="1" ht="56.25" x14ac:dyDescent="0.2">
      <c r="A186" s="41"/>
      <c r="B186" s="290">
        <v>172</v>
      </c>
      <c r="C186" s="290" t="s">
        <v>1309</v>
      </c>
      <c r="D186" s="290" t="s">
        <v>1308</v>
      </c>
      <c r="E186" s="297" t="s">
        <v>423</v>
      </c>
      <c r="F186" s="291" t="s">
        <v>696</v>
      </c>
      <c r="G186" s="299" t="s">
        <v>425</v>
      </c>
      <c r="H186" s="299" t="s">
        <v>428</v>
      </c>
      <c r="I186" s="65" t="s">
        <v>140</v>
      </c>
      <c r="J186" s="59">
        <v>2000</v>
      </c>
      <c r="K186" s="60">
        <v>24</v>
      </c>
      <c r="L186" s="60" t="s">
        <v>1102</v>
      </c>
      <c r="M186" s="60" t="s">
        <v>1103</v>
      </c>
      <c r="N186" s="61">
        <v>4789</v>
      </c>
      <c r="O186" s="62">
        <v>186.7</v>
      </c>
      <c r="P186" s="59">
        <v>3966.26</v>
      </c>
      <c r="Q186" s="59">
        <f t="shared" si="34"/>
        <v>21.244027852169257</v>
      </c>
      <c r="R186" s="63">
        <v>2012</v>
      </c>
      <c r="S186" s="64">
        <v>0.05</v>
      </c>
      <c r="T186" s="300" t="s">
        <v>11</v>
      </c>
      <c r="U186" s="300" t="s">
        <v>11</v>
      </c>
      <c r="V186" s="295">
        <v>3966.26</v>
      </c>
      <c r="W186" s="295">
        <f t="shared" si="51"/>
        <v>55210.339200000002</v>
      </c>
      <c r="X186" s="295">
        <f t="shared" ref="X186:X187" si="52">ROUND(+V186*1.15*12*1.16,2)</f>
        <v>63491.89</v>
      </c>
      <c r="Y186" s="296" t="s">
        <v>1566</v>
      </c>
      <c r="Z186" s="167"/>
      <c r="AA186" s="19"/>
    </row>
    <row r="187" spans="1:27" s="34" customFormat="1" ht="93.75" x14ac:dyDescent="0.2">
      <c r="A187" s="41"/>
      <c r="B187" s="290">
        <v>173</v>
      </c>
      <c r="C187" s="290" t="s">
        <v>1310</v>
      </c>
      <c r="D187" s="290" t="s">
        <v>1308</v>
      </c>
      <c r="E187" s="297" t="s">
        <v>423</v>
      </c>
      <c r="F187" s="291" t="s">
        <v>697</v>
      </c>
      <c r="G187" s="299" t="s">
        <v>426</v>
      </c>
      <c r="H187" s="299" t="s">
        <v>601</v>
      </c>
      <c r="I187" s="65" t="s">
        <v>142</v>
      </c>
      <c r="J187" s="59">
        <v>22136.73</v>
      </c>
      <c r="K187" s="60">
        <v>17</v>
      </c>
      <c r="L187" s="60" t="s">
        <v>1104</v>
      </c>
      <c r="M187" s="60" t="s">
        <v>1105</v>
      </c>
      <c r="N187" s="61">
        <v>33585</v>
      </c>
      <c r="O187" s="62">
        <v>2478.6</v>
      </c>
      <c r="P187" s="59">
        <v>23266.61</v>
      </c>
      <c r="Q187" s="59">
        <f t="shared" si="34"/>
        <v>9.386996691680789</v>
      </c>
      <c r="R187" s="63">
        <v>2007</v>
      </c>
      <c r="S187" s="64">
        <v>0.05</v>
      </c>
      <c r="T187" s="300" t="s">
        <v>11</v>
      </c>
      <c r="U187" s="300" t="s">
        <v>11</v>
      </c>
      <c r="V187" s="295">
        <v>23266.61</v>
      </c>
      <c r="W187" s="295">
        <f t="shared" si="51"/>
        <v>323871.21120000002</v>
      </c>
      <c r="X187" s="295">
        <f t="shared" si="52"/>
        <v>372451.89</v>
      </c>
      <c r="Y187" s="296" t="s">
        <v>1566</v>
      </c>
      <c r="Z187" s="167"/>
      <c r="AA187" s="19"/>
    </row>
    <row r="188" spans="1:27" s="34" customFormat="1" ht="75" x14ac:dyDescent="0.2">
      <c r="A188" s="41"/>
      <c r="B188" s="218">
        <v>174</v>
      </c>
      <c r="C188" s="218" t="s">
        <v>1311</v>
      </c>
      <c r="D188" s="218" t="s">
        <v>1312</v>
      </c>
      <c r="E188" s="227" t="s">
        <v>423</v>
      </c>
      <c r="F188" s="219" t="s">
        <v>699</v>
      </c>
      <c r="G188" s="228" t="s">
        <v>292</v>
      </c>
      <c r="H188" s="228" t="s">
        <v>650</v>
      </c>
      <c r="I188" s="65" t="s">
        <v>651</v>
      </c>
      <c r="J188" s="59">
        <v>20000</v>
      </c>
      <c r="K188" s="60">
        <v>3</v>
      </c>
      <c r="L188" s="60">
        <v>7103</v>
      </c>
      <c r="M188" s="60" t="s">
        <v>1106</v>
      </c>
      <c r="N188" s="61">
        <v>82299</v>
      </c>
      <c r="O188" s="62">
        <v>417</v>
      </c>
      <c r="P188" s="59">
        <v>20000</v>
      </c>
      <c r="Q188" s="59">
        <f t="shared" si="34"/>
        <v>47.961630695443645</v>
      </c>
      <c r="R188" s="63" t="s">
        <v>16</v>
      </c>
      <c r="S188" s="64" t="s">
        <v>16</v>
      </c>
      <c r="T188" s="222" t="s">
        <v>1554</v>
      </c>
      <c r="U188" s="222" t="s">
        <v>1554</v>
      </c>
      <c r="V188" s="223">
        <v>20000</v>
      </c>
      <c r="W188" s="223">
        <f t="shared" si="51"/>
        <v>278400</v>
      </c>
      <c r="X188" s="223">
        <f>ROUND(+W188,2)</f>
        <v>278400</v>
      </c>
      <c r="Y188" s="224"/>
      <c r="Z188" s="167"/>
      <c r="AA188" s="19"/>
    </row>
    <row r="189" spans="1:27" s="34" customFormat="1" ht="75" x14ac:dyDescent="0.2">
      <c r="A189" s="41"/>
      <c r="B189" s="262">
        <v>175</v>
      </c>
      <c r="C189" s="262">
        <v>222438</v>
      </c>
      <c r="D189" s="262">
        <v>200200</v>
      </c>
      <c r="E189" s="269" t="s">
        <v>423</v>
      </c>
      <c r="F189" s="263" t="s">
        <v>698</v>
      </c>
      <c r="G189" s="271" t="s">
        <v>427</v>
      </c>
      <c r="H189" s="278" t="s">
        <v>429</v>
      </c>
      <c r="I189" s="65" t="s">
        <v>143</v>
      </c>
      <c r="J189" s="59">
        <v>6315.79</v>
      </c>
      <c r="K189" s="60">
        <v>13</v>
      </c>
      <c r="L189" s="60" t="s">
        <v>1107</v>
      </c>
      <c r="M189" s="60" t="s">
        <v>937</v>
      </c>
      <c r="N189" s="61">
        <v>18418</v>
      </c>
      <c r="O189" s="62">
        <v>242.77</v>
      </c>
      <c r="P189" s="59">
        <v>6528</v>
      </c>
      <c r="Q189" s="59">
        <f t="shared" si="34"/>
        <v>26.889648638629154</v>
      </c>
      <c r="R189" s="63">
        <v>2017</v>
      </c>
      <c r="S189" s="64" t="s">
        <v>1354</v>
      </c>
      <c r="T189" s="266" t="s">
        <v>1554</v>
      </c>
      <c r="U189" s="272" t="s">
        <v>13</v>
      </c>
      <c r="V189" s="267">
        <v>6528</v>
      </c>
      <c r="W189" s="267">
        <f t="shared" si="51"/>
        <v>90869.759999999995</v>
      </c>
      <c r="X189" s="267">
        <f>ROUND(+V189*1.16*12*1.1,2)</f>
        <v>99956.74</v>
      </c>
      <c r="Y189" s="268" t="s">
        <v>1567</v>
      </c>
      <c r="Z189" s="167"/>
      <c r="AA189" s="19"/>
    </row>
    <row r="190" spans="1:27" s="34" customFormat="1" ht="93.75" x14ac:dyDescent="0.2">
      <c r="A190" s="41"/>
      <c r="B190" s="218">
        <v>176</v>
      </c>
      <c r="C190" s="218" t="s">
        <v>1313</v>
      </c>
      <c r="D190" s="218" t="s">
        <v>1305</v>
      </c>
      <c r="E190" s="227" t="s">
        <v>423</v>
      </c>
      <c r="F190" s="219" t="s">
        <v>700</v>
      </c>
      <c r="G190" s="228" t="s">
        <v>227</v>
      </c>
      <c r="H190" s="228" t="s">
        <v>430</v>
      </c>
      <c r="I190" s="65" t="s">
        <v>92</v>
      </c>
      <c r="J190" s="59">
        <v>7767.71</v>
      </c>
      <c r="K190" s="60">
        <v>26</v>
      </c>
      <c r="L190" s="60" t="s">
        <v>1108</v>
      </c>
      <c r="M190" s="60" t="s">
        <v>1109</v>
      </c>
      <c r="N190" s="61">
        <v>23538</v>
      </c>
      <c r="O190" s="62">
        <v>415.27</v>
      </c>
      <c r="P190" s="59">
        <v>18959.349999999999</v>
      </c>
      <c r="Q190" s="59">
        <f t="shared" si="34"/>
        <v>45.655477159438433</v>
      </c>
      <c r="R190" s="63">
        <v>2018</v>
      </c>
      <c r="S190" s="64">
        <v>0.05</v>
      </c>
      <c r="T190" s="222" t="s">
        <v>1554</v>
      </c>
      <c r="U190" s="222" t="s">
        <v>1554</v>
      </c>
      <c r="V190" s="223">
        <v>18959.349999999999</v>
      </c>
      <c r="W190" s="223">
        <f t="shared" si="51"/>
        <v>263914.152</v>
      </c>
      <c r="X190" s="223">
        <f t="shared" ref="X190:X191" si="53">ROUND(+W190,2)</f>
        <v>263914.15000000002</v>
      </c>
      <c r="Y190" s="224"/>
      <c r="Z190" s="167"/>
      <c r="AA190" s="19"/>
    </row>
    <row r="191" spans="1:27" s="34" customFormat="1" ht="75" x14ac:dyDescent="0.2">
      <c r="A191" s="41"/>
      <c r="B191" s="218">
        <v>177</v>
      </c>
      <c r="C191" s="218" t="s">
        <v>1314</v>
      </c>
      <c r="D191" s="218" t="s">
        <v>1305</v>
      </c>
      <c r="E191" s="227" t="s">
        <v>423</v>
      </c>
      <c r="F191" s="219" t="s">
        <v>701</v>
      </c>
      <c r="G191" s="228" t="s">
        <v>227</v>
      </c>
      <c r="H191" s="228" t="s">
        <v>431</v>
      </c>
      <c r="I191" s="65" t="s">
        <v>79</v>
      </c>
      <c r="J191" s="59">
        <v>50000</v>
      </c>
      <c r="K191" s="60">
        <v>11</v>
      </c>
      <c r="L191" s="60" t="s">
        <v>1110</v>
      </c>
      <c r="M191" s="60" t="s">
        <v>1111</v>
      </c>
      <c r="N191" s="61">
        <v>51519</v>
      </c>
      <c r="O191" s="62">
        <v>819.71</v>
      </c>
      <c r="P191" s="59">
        <v>50000</v>
      </c>
      <c r="Q191" s="59">
        <f t="shared" si="34"/>
        <v>60.99718193019482</v>
      </c>
      <c r="R191" s="63" t="s">
        <v>1334</v>
      </c>
      <c r="S191" s="64" t="s">
        <v>16</v>
      </c>
      <c r="T191" s="222" t="s">
        <v>1554</v>
      </c>
      <c r="U191" s="222" t="s">
        <v>1554</v>
      </c>
      <c r="V191" s="223">
        <v>50000</v>
      </c>
      <c r="W191" s="223">
        <f t="shared" si="51"/>
        <v>695999.99999999988</v>
      </c>
      <c r="X191" s="223">
        <f t="shared" si="53"/>
        <v>696000</v>
      </c>
      <c r="Y191" s="224"/>
      <c r="Z191" s="167"/>
      <c r="AA191" s="19"/>
    </row>
    <row r="192" spans="1:27" s="34" customFormat="1" ht="150" x14ac:dyDescent="0.2">
      <c r="A192" s="41"/>
      <c r="B192" s="262">
        <v>178</v>
      </c>
      <c r="C192" s="262" t="s">
        <v>1315</v>
      </c>
      <c r="D192" s="262" t="s">
        <v>1316</v>
      </c>
      <c r="E192" s="269" t="s">
        <v>423</v>
      </c>
      <c r="F192" s="263" t="s">
        <v>702</v>
      </c>
      <c r="G192" s="264" t="s">
        <v>627</v>
      </c>
      <c r="H192" s="271" t="s">
        <v>432</v>
      </c>
      <c r="I192" s="65" t="s">
        <v>144</v>
      </c>
      <c r="J192" s="59">
        <v>14500</v>
      </c>
      <c r="K192" s="60">
        <v>28</v>
      </c>
      <c r="L192" s="60" t="s">
        <v>1112</v>
      </c>
      <c r="M192" s="60" t="s">
        <v>1109</v>
      </c>
      <c r="N192" s="61">
        <v>43618</v>
      </c>
      <c r="O192" s="62">
        <v>1118</v>
      </c>
      <c r="P192" s="59">
        <v>35597.79</v>
      </c>
      <c r="Q192" s="59">
        <f t="shared" si="34"/>
        <v>31.840599284436493</v>
      </c>
      <c r="R192" s="63">
        <v>2012</v>
      </c>
      <c r="S192" s="64">
        <v>0.05</v>
      </c>
      <c r="T192" s="272" t="s">
        <v>11</v>
      </c>
      <c r="U192" s="272" t="s">
        <v>13</v>
      </c>
      <c r="V192" s="267">
        <v>35597.79</v>
      </c>
      <c r="W192" s="267">
        <f t="shared" si="51"/>
        <v>495521.23679999996</v>
      </c>
      <c r="X192" s="267">
        <f>ROUND(+V192*1.16*12*1.1,2)</f>
        <v>545073.36</v>
      </c>
      <c r="Y192" s="268" t="s">
        <v>1567</v>
      </c>
      <c r="Z192" s="167"/>
      <c r="AA192" s="19"/>
    </row>
    <row r="193" spans="1:27" s="34" customFormat="1" ht="56.25" x14ac:dyDescent="0.2">
      <c r="A193" s="41"/>
      <c r="B193" s="290">
        <v>179</v>
      </c>
      <c r="C193" s="290" t="s">
        <v>1317</v>
      </c>
      <c r="D193" s="290" t="s">
        <v>1318</v>
      </c>
      <c r="E193" s="297" t="s">
        <v>423</v>
      </c>
      <c r="F193" s="291" t="s">
        <v>1555</v>
      </c>
      <c r="G193" s="299" t="s">
        <v>261</v>
      </c>
      <c r="H193" s="299" t="s">
        <v>1345</v>
      </c>
      <c r="I193" s="65" t="s">
        <v>1346</v>
      </c>
      <c r="J193" s="59">
        <v>70000</v>
      </c>
      <c r="K193" s="60">
        <v>2</v>
      </c>
      <c r="L193" s="119">
        <v>7499</v>
      </c>
      <c r="M193" s="60" t="s">
        <v>1347</v>
      </c>
      <c r="N193" s="61">
        <v>95669</v>
      </c>
      <c r="O193" s="62">
        <v>548</v>
      </c>
      <c r="P193" s="59">
        <v>70000</v>
      </c>
      <c r="Q193" s="59">
        <f t="shared" si="34"/>
        <v>127.73722627737226</v>
      </c>
      <c r="R193" s="63" t="s">
        <v>16</v>
      </c>
      <c r="S193" s="64" t="s">
        <v>16</v>
      </c>
      <c r="T193" s="300" t="s">
        <v>11</v>
      </c>
      <c r="U193" s="300" t="s">
        <v>11</v>
      </c>
      <c r="V193" s="295">
        <v>70000</v>
      </c>
      <c r="W193" s="295">
        <f t="shared" si="51"/>
        <v>974400</v>
      </c>
      <c r="X193" s="295">
        <f>ROUND(+V193*1.15*12*1.16,2)</f>
        <v>1120560</v>
      </c>
      <c r="Y193" s="296" t="s">
        <v>1566</v>
      </c>
      <c r="Z193" s="167"/>
      <c r="AA193" s="19"/>
    </row>
    <row r="194" spans="1:27" s="34" customFormat="1" ht="75" x14ac:dyDescent="0.2">
      <c r="A194" s="41"/>
      <c r="B194" s="218">
        <v>180</v>
      </c>
      <c r="C194" s="218">
        <v>229001</v>
      </c>
      <c r="D194" s="218">
        <v>50100</v>
      </c>
      <c r="E194" s="227" t="s">
        <v>423</v>
      </c>
      <c r="F194" s="219" t="s">
        <v>1486</v>
      </c>
      <c r="G194" s="228" t="s">
        <v>1464</v>
      </c>
      <c r="H194" s="228" t="s">
        <v>1487</v>
      </c>
      <c r="I194" s="65" t="s">
        <v>1466</v>
      </c>
      <c r="J194" s="59">
        <v>22500</v>
      </c>
      <c r="K194" s="60" t="s">
        <v>16</v>
      </c>
      <c r="L194" s="119" t="s">
        <v>1488</v>
      </c>
      <c r="M194" s="60" t="s">
        <v>1489</v>
      </c>
      <c r="N194" s="61">
        <v>112057</v>
      </c>
      <c r="O194" s="62">
        <v>198.8</v>
      </c>
      <c r="P194" s="59">
        <v>22500</v>
      </c>
      <c r="Q194" s="59">
        <f t="shared" si="34"/>
        <v>113.17907444668008</v>
      </c>
      <c r="R194" s="63" t="s">
        <v>16</v>
      </c>
      <c r="S194" s="64" t="s">
        <v>16</v>
      </c>
      <c r="T194" s="222" t="s">
        <v>1554</v>
      </c>
      <c r="U194" s="222" t="s">
        <v>1554</v>
      </c>
      <c r="V194" s="223">
        <v>22500</v>
      </c>
      <c r="W194" s="223">
        <f>+V194*12</f>
        <v>270000</v>
      </c>
      <c r="X194" s="223">
        <f t="shared" ref="X194:X195" si="54">ROUND(+W194,2)</f>
        <v>270000</v>
      </c>
      <c r="Y194" s="224"/>
      <c r="Z194" s="167">
        <f>SUM(X185:X194)</f>
        <v>4635528.0299999993</v>
      </c>
      <c r="AA194" s="19"/>
    </row>
    <row r="195" spans="1:27" s="34" customFormat="1" ht="112.5" x14ac:dyDescent="0.2">
      <c r="A195" s="41"/>
      <c r="B195" s="218">
        <v>181</v>
      </c>
      <c r="C195" s="218">
        <v>232418</v>
      </c>
      <c r="D195" s="218">
        <v>200200</v>
      </c>
      <c r="E195" s="227" t="s">
        <v>433</v>
      </c>
      <c r="F195" s="219" t="s">
        <v>703</v>
      </c>
      <c r="G195" s="228" t="s">
        <v>316</v>
      </c>
      <c r="H195" s="228" t="s">
        <v>440</v>
      </c>
      <c r="I195" s="65" t="s">
        <v>145</v>
      </c>
      <c r="J195" s="59">
        <v>40000</v>
      </c>
      <c r="K195" s="60">
        <v>12</v>
      </c>
      <c r="L195" s="60" t="s">
        <v>1114</v>
      </c>
      <c r="M195" s="60" t="s">
        <v>1115</v>
      </c>
      <c r="N195" s="61">
        <v>161006</v>
      </c>
      <c r="O195" s="62">
        <v>1824.02</v>
      </c>
      <c r="P195" s="59">
        <v>46400</v>
      </c>
      <c r="Q195" s="59">
        <f t="shared" si="34"/>
        <v>25.438317562307432</v>
      </c>
      <c r="R195" s="63" t="s">
        <v>1334</v>
      </c>
      <c r="S195" s="64" t="s">
        <v>16</v>
      </c>
      <c r="T195" s="222" t="s">
        <v>1554</v>
      </c>
      <c r="U195" s="222" t="s">
        <v>1554</v>
      </c>
      <c r="V195" s="223">
        <v>46400</v>
      </c>
      <c r="W195" s="223">
        <f t="shared" ref="W195:W208" si="55">+V195*1.16*12</f>
        <v>645887.99999999988</v>
      </c>
      <c r="X195" s="223">
        <f t="shared" si="54"/>
        <v>645888</v>
      </c>
      <c r="Y195" s="224"/>
      <c r="Z195" s="167"/>
      <c r="AA195" s="19"/>
    </row>
    <row r="196" spans="1:27" s="34" customFormat="1" ht="93.75" x14ac:dyDescent="0.2">
      <c r="A196" s="41"/>
      <c r="B196" s="290">
        <v>182</v>
      </c>
      <c r="C196" s="290">
        <v>239001</v>
      </c>
      <c r="D196" s="290">
        <v>600100</v>
      </c>
      <c r="E196" s="297" t="s">
        <v>433</v>
      </c>
      <c r="F196" s="291" t="s">
        <v>704</v>
      </c>
      <c r="G196" s="299" t="s">
        <v>434</v>
      </c>
      <c r="H196" s="299" t="s">
        <v>437</v>
      </c>
      <c r="I196" s="65" t="s">
        <v>146</v>
      </c>
      <c r="J196" s="59">
        <v>34952.43</v>
      </c>
      <c r="K196" s="60">
        <v>12</v>
      </c>
      <c r="L196" s="60" t="s">
        <v>1116</v>
      </c>
      <c r="M196" s="60" t="s">
        <v>1117</v>
      </c>
      <c r="N196" s="61">
        <v>66746</v>
      </c>
      <c r="O196" s="62">
        <v>408.08</v>
      </c>
      <c r="P196" s="59">
        <v>43690.43</v>
      </c>
      <c r="Q196" s="59">
        <f t="shared" ref="Q196:Q259" si="56">+P196/O196</f>
        <v>107.06339443246422</v>
      </c>
      <c r="R196" s="63">
        <v>2013</v>
      </c>
      <c r="S196" s="64">
        <v>0.2499972820193852</v>
      </c>
      <c r="T196" s="300" t="s">
        <v>11</v>
      </c>
      <c r="U196" s="300" t="s">
        <v>11</v>
      </c>
      <c r="V196" s="295">
        <v>43680.43</v>
      </c>
      <c r="W196" s="295">
        <f t="shared" si="55"/>
        <v>608031.58559999999</v>
      </c>
      <c r="X196" s="295">
        <f t="shared" ref="X196:X198" si="57">ROUND(+V196*1.15*12*1.16,2)</f>
        <v>699236.32</v>
      </c>
      <c r="Y196" s="296" t="s">
        <v>1566</v>
      </c>
      <c r="Z196" s="167"/>
      <c r="AA196" s="19"/>
    </row>
    <row r="197" spans="1:27" s="34" customFormat="1" ht="93.75" x14ac:dyDescent="0.2">
      <c r="A197" s="41"/>
      <c r="B197" s="290">
        <v>183</v>
      </c>
      <c r="C197" s="290">
        <v>239001</v>
      </c>
      <c r="D197" s="290">
        <v>600100</v>
      </c>
      <c r="E197" s="297" t="s">
        <v>433</v>
      </c>
      <c r="F197" s="291" t="s">
        <v>705</v>
      </c>
      <c r="G197" s="299" t="s">
        <v>435</v>
      </c>
      <c r="H197" s="299" t="s">
        <v>437</v>
      </c>
      <c r="I197" s="65" t="s">
        <v>211</v>
      </c>
      <c r="J197" s="59">
        <v>16291</v>
      </c>
      <c r="K197" s="60">
        <v>5</v>
      </c>
      <c r="L197" s="60">
        <v>3700</v>
      </c>
      <c r="M197" s="60" t="s">
        <v>1118</v>
      </c>
      <c r="N197" s="61">
        <v>37813</v>
      </c>
      <c r="O197" s="62">
        <v>198.16</v>
      </c>
      <c r="P197" s="59">
        <v>16291</v>
      </c>
      <c r="Q197" s="59">
        <f t="shared" si="56"/>
        <v>82.211344368187326</v>
      </c>
      <c r="R197" s="63">
        <v>2013</v>
      </c>
      <c r="S197" s="64">
        <v>0.25000038364800137</v>
      </c>
      <c r="T197" s="300" t="s">
        <v>11</v>
      </c>
      <c r="U197" s="300" t="s">
        <v>11</v>
      </c>
      <c r="V197" s="295">
        <v>16291</v>
      </c>
      <c r="W197" s="295">
        <f t="shared" si="55"/>
        <v>226770.71999999997</v>
      </c>
      <c r="X197" s="295">
        <f t="shared" si="57"/>
        <v>260786.33</v>
      </c>
      <c r="Y197" s="296" t="s">
        <v>1566</v>
      </c>
      <c r="Z197" s="167"/>
      <c r="AA197" s="19"/>
    </row>
    <row r="198" spans="1:27" s="34" customFormat="1" ht="75" x14ac:dyDescent="0.2">
      <c r="A198" s="41"/>
      <c r="B198" s="290">
        <v>184</v>
      </c>
      <c r="C198" s="290" t="s">
        <v>1319</v>
      </c>
      <c r="D198" s="290" t="s">
        <v>1320</v>
      </c>
      <c r="E198" s="297" t="s">
        <v>433</v>
      </c>
      <c r="F198" s="291" t="s">
        <v>706</v>
      </c>
      <c r="G198" s="299" t="s">
        <v>436</v>
      </c>
      <c r="H198" s="299" t="s">
        <v>1419</v>
      </c>
      <c r="I198" s="65" t="s">
        <v>212</v>
      </c>
      <c r="J198" s="59">
        <v>46754</v>
      </c>
      <c r="K198" s="60">
        <v>6</v>
      </c>
      <c r="L198" s="60">
        <v>3452</v>
      </c>
      <c r="M198" s="60" t="s">
        <v>1119</v>
      </c>
      <c r="N198" s="61">
        <v>86813</v>
      </c>
      <c r="O198" s="62">
        <v>482</v>
      </c>
      <c r="P198" s="59">
        <v>46754</v>
      </c>
      <c r="Q198" s="59">
        <f t="shared" si="56"/>
        <v>97</v>
      </c>
      <c r="R198" s="63" t="s">
        <v>1334</v>
      </c>
      <c r="S198" s="64" t="s">
        <v>16</v>
      </c>
      <c r="T198" s="300" t="s">
        <v>11</v>
      </c>
      <c r="U198" s="300" t="s">
        <v>11</v>
      </c>
      <c r="V198" s="295">
        <v>46754</v>
      </c>
      <c r="W198" s="295">
        <f t="shared" si="55"/>
        <v>650815.67999999993</v>
      </c>
      <c r="X198" s="295">
        <f t="shared" si="57"/>
        <v>748438.03</v>
      </c>
      <c r="Y198" s="296" t="s">
        <v>1566</v>
      </c>
      <c r="Z198" s="167"/>
      <c r="AA198" s="19"/>
    </row>
    <row r="199" spans="1:27" s="34" customFormat="1" ht="56.25" x14ac:dyDescent="0.2">
      <c r="A199" s="41"/>
      <c r="B199" s="218">
        <v>185</v>
      </c>
      <c r="C199" s="218">
        <v>235901</v>
      </c>
      <c r="D199" s="218">
        <v>380200</v>
      </c>
      <c r="E199" s="227" t="s">
        <v>433</v>
      </c>
      <c r="F199" s="219" t="s">
        <v>1443</v>
      </c>
      <c r="G199" s="228" t="s">
        <v>392</v>
      </c>
      <c r="H199" s="228" t="s">
        <v>1444</v>
      </c>
      <c r="I199" s="65" t="s">
        <v>1445</v>
      </c>
      <c r="J199" s="59">
        <v>85000</v>
      </c>
      <c r="K199" s="60" t="s">
        <v>16</v>
      </c>
      <c r="L199" s="60">
        <v>8762</v>
      </c>
      <c r="M199" s="60" t="s">
        <v>1446</v>
      </c>
      <c r="N199" s="61">
        <v>116854</v>
      </c>
      <c r="O199" s="62">
        <v>712.61</v>
      </c>
      <c r="P199" s="59">
        <v>85000</v>
      </c>
      <c r="Q199" s="59">
        <f t="shared" si="56"/>
        <v>119.2798304823115</v>
      </c>
      <c r="R199" s="63" t="s">
        <v>16</v>
      </c>
      <c r="S199" s="64" t="s">
        <v>16</v>
      </c>
      <c r="T199" s="222" t="s">
        <v>1554</v>
      </c>
      <c r="U199" s="222" t="s">
        <v>1554</v>
      </c>
      <c r="V199" s="223">
        <v>85000</v>
      </c>
      <c r="W199" s="223">
        <f t="shared" si="55"/>
        <v>1183200</v>
      </c>
      <c r="X199" s="223">
        <f>ROUND(+W199,2)</f>
        <v>1183200</v>
      </c>
      <c r="Y199" s="224"/>
      <c r="Z199" s="167"/>
      <c r="AA199" s="19"/>
    </row>
    <row r="200" spans="1:27" s="34" customFormat="1" ht="75" x14ac:dyDescent="0.2">
      <c r="A200" s="41"/>
      <c r="B200" s="262">
        <v>186</v>
      </c>
      <c r="C200" s="262">
        <v>238002</v>
      </c>
      <c r="D200" s="262">
        <v>920201</v>
      </c>
      <c r="E200" s="269" t="s">
        <v>433</v>
      </c>
      <c r="F200" s="263" t="s">
        <v>707</v>
      </c>
      <c r="G200" s="271" t="s">
        <v>254</v>
      </c>
      <c r="H200" s="271" t="s">
        <v>438</v>
      </c>
      <c r="I200" s="65" t="s">
        <v>148</v>
      </c>
      <c r="J200" s="59">
        <v>5000</v>
      </c>
      <c r="K200" s="60">
        <v>28</v>
      </c>
      <c r="L200" s="60" t="s">
        <v>1120</v>
      </c>
      <c r="M200" s="60" t="s">
        <v>1033</v>
      </c>
      <c r="N200" s="61">
        <v>16555</v>
      </c>
      <c r="O200" s="62">
        <v>418.89</v>
      </c>
      <c r="P200" s="59">
        <v>14000</v>
      </c>
      <c r="Q200" s="59">
        <f t="shared" si="56"/>
        <v>33.421662011506605</v>
      </c>
      <c r="R200" s="63">
        <v>2009</v>
      </c>
      <c r="S200" s="64">
        <v>0.53019010426059565</v>
      </c>
      <c r="T200" s="266" t="s">
        <v>1554</v>
      </c>
      <c r="U200" s="272" t="s">
        <v>13</v>
      </c>
      <c r="V200" s="267">
        <v>14000</v>
      </c>
      <c r="W200" s="267">
        <f t="shared" si="55"/>
        <v>194879.99999999997</v>
      </c>
      <c r="X200" s="267">
        <f>ROUND(+V200*1.16*12*1.1,2)</f>
        <v>214368</v>
      </c>
      <c r="Y200" s="268" t="s">
        <v>1567</v>
      </c>
      <c r="Z200" s="167"/>
      <c r="AA200" s="19"/>
    </row>
    <row r="201" spans="1:27" s="34" customFormat="1" ht="75" x14ac:dyDescent="0.2">
      <c r="A201" s="41"/>
      <c r="B201" s="290">
        <v>187</v>
      </c>
      <c r="C201" s="290">
        <v>238003</v>
      </c>
      <c r="D201" s="290">
        <v>920201</v>
      </c>
      <c r="E201" s="297" t="s">
        <v>433</v>
      </c>
      <c r="F201" s="291" t="s">
        <v>708</v>
      </c>
      <c r="G201" s="299" t="s">
        <v>237</v>
      </c>
      <c r="H201" s="299" t="s">
        <v>439</v>
      </c>
      <c r="I201" s="65" t="s">
        <v>149</v>
      </c>
      <c r="J201" s="59">
        <v>18500</v>
      </c>
      <c r="K201" s="60">
        <v>19</v>
      </c>
      <c r="L201" s="60" t="s">
        <v>1121</v>
      </c>
      <c r="M201" s="60" t="s">
        <v>1122</v>
      </c>
      <c r="N201" s="61">
        <v>34088</v>
      </c>
      <c r="O201" s="62">
        <v>800</v>
      </c>
      <c r="P201" s="59">
        <v>22435.88</v>
      </c>
      <c r="Q201" s="59">
        <f t="shared" si="56"/>
        <v>28.04485</v>
      </c>
      <c r="R201" s="63">
        <v>2012</v>
      </c>
      <c r="S201" s="64">
        <v>0.10000024514310235</v>
      </c>
      <c r="T201" s="300" t="s">
        <v>11</v>
      </c>
      <c r="U201" s="300" t="s">
        <v>11</v>
      </c>
      <c r="V201" s="295">
        <v>22435.88</v>
      </c>
      <c r="W201" s="295">
        <f t="shared" si="55"/>
        <v>312307.44959999999</v>
      </c>
      <c r="X201" s="295">
        <f>ROUND(+V201*1.15*12*1.16,2)</f>
        <v>359153.57</v>
      </c>
      <c r="Y201" s="296" t="s">
        <v>1566</v>
      </c>
      <c r="Z201" s="167"/>
      <c r="AA201" s="19"/>
    </row>
    <row r="202" spans="1:27" s="34" customFormat="1" ht="75.75" thickBot="1" x14ac:dyDescent="0.25">
      <c r="A202" s="41"/>
      <c r="B202" s="218">
        <v>188</v>
      </c>
      <c r="C202" s="218" t="s">
        <v>1329</v>
      </c>
      <c r="D202" s="218">
        <v>800201</v>
      </c>
      <c r="E202" s="227" t="s">
        <v>433</v>
      </c>
      <c r="F202" s="219" t="s">
        <v>709</v>
      </c>
      <c r="G202" s="228" t="s">
        <v>223</v>
      </c>
      <c r="H202" s="228" t="s">
        <v>441</v>
      </c>
      <c r="I202" s="65" t="s">
        <v>150</v>
      </c>
      <c r="J202" s="59">
        <v>26500</v>
      </c>
      <c r="K202" s="60">
        <v>8</v>
      </c>
      <c r="L202" s="60">
        <v>9405</v>
      </c>
      <c r="M202" s="60" t="s">
        <v>1544</v>
      </c>
      <c r="N202" s="61">
        <v>64782</v>
      </c>
      <c r="O202" s="62">
        <v>481.76</v>
      </c>
      <c r="P202" s="59">
        <v>30471.32</v>
      </c>
      <c r="Q202" s="59">
        <f t="shared" si="56"/>
        <v>63.25</v>
      </c>
      <c r="R202" s="63">
        <v>2021</v>
      </c>
      <c r="S202" s="64">
        <v>0.15</v>
      </c>
      <c r="T202" s="232" t="s">
        <v>13</v>
      </c>
      <c r="U202" s="222" t="s">
        <v>1554</v>
      </c>
      <c r="V202" s="223">
        <f>35346.88/1.16</f>
        <v>30471.448275862069</v>
      </c>
      <c r="W202" s="223">
        <f t="shared" si="55"/>
        <v>424162.55999999994</v>
      </c>
      <c r="X202" s="223">
        <f>ROUND(+W202,2)</f>
        <v>424162.56</v>
      </c>
      <c r="Y202" s="224"/>
      <c r="Z202" s="167">
        <f>SUM(X195:X202)</f>
        <v>4535232.8099999996</v>
      </c>
      <c r="AA202" s="19"/>
    </row>
    <row r="203" spans="1:27" s="34" customFormat="1" ht="75.75" thickTop="1" x14ac:dyDescent="0.2">
      <c r="A203" s="41"/>
      <c r="B203" s="290">
        <v>189</v>
      </c>
      <c r="C203" s="290">
        <v>242422</v>
      </c>
      <c r="D203" s="290">
        <v>200200</v>
      </c>
      <c r="E203" s="297" t="s">
        <v>442</v>
      </c>
      <c r="F203" s="291" t="s">
        <v>710</v>
      </c>
      <c r="G203" s="292" t="s">
        <v>443</v>
      </c>
      <c r="H203" s="299" t="s">
        <v>445</v>
      </c>
      <c r="I203" s="120" t="s">
        <v>151</v>
      </c>
      <c r="J203" s="121">
        <v>1077</v>
      </c>
      <c r="K203" s="60">
        <v>22</v>
      </c>
      <c r="L203" s="60" t="s">
        <v>1123</v>
      </c>
      <c r="M203" s="60" t="s">
        <v>1124</v>
      </c>
      <c r="N203" s="61">
        <v>8667</v>
      </c>
      <c r="O203" s="122">
        <v>331.51</v>
      </c>
      <c r="P203" s="121">
        <v>5000</v>
      </c>
      <c r="Q203" s="59">
        <f t="shared" si="56"/>
        <v>15.082501282012609</v>
      </c>
      <c r="R203" s="63">
        <v>2011</v>
      </c>
      <c r="S203" s="64">
        <v>3.6425000000000001</v>
      </c>
      <c r="T203" s="300" t="s">
        <v>11</v>
      </c>
      <c r="U203" s="300" t="s">
        <v>11</v>
      </c>
      <c r="V203" s="295">
        <v>5000</v>
      </c>
      <c r="W203" s="295">
        <f t="shared" si="55"/>
        <v>69600</v>
      </c>
      <c r="X203" s="295">
        <f>ROUND(+V203*1.15*12*1.16,2)</f>
        <v>80040</v>
      </c>
      <c r="Y203" s="296" t="s">
        <v>1566</v>
      </c>
      <c r="Z203" s="167"/>
      <c r="AA203" s="19"/>
    </row>
    <row r="204" spans="1:27" s="36" customFormat="1" ht="93.75" x14ac:dyDescent="0.2">
      <c r="A204" s="41"/>
      <c r="B204" s="218">
        <v>190</v>
      </c>
      <c r="C204" s="218">
        <v>245901</v>
      </c>
      <c r="D204" s="218">
        <v>380200</v>
      </c>
      <c r="E204" s="227" t="s">
        <v>442</v>
      </c>
      <c r="F204" s="219" t="s">
        <v>614</v>
      </c>
      <c r="G204" s="220" t="s">
        <v>392</v>
      </c>
      <c r="H204" s="228" t="s">
        <v>615</v>
      </c>
      <c r="I204" s="123" t="s">
        <v>616</v>
      </c>
      <c r="J204" s="124">
        <v>26225</v>
      </c>
      <c r="K204" s="60">
        <v>3</v>
      </c>
      <c r="L204" s="60">
        <v>6931</v>
      </c>
      <c r="M204" s="60" t="s">
        <v>1125</v>
      </c>
      <c r="N204" s="61">
        <v>62186</v>
      </c>
      <c r="O204" s="125">
        <v>490</v>
      </c>
      <c r="P204" s="124">
        <v>26225</v>
      </c>
      <c r="Q204" s="59">
        <f t="shared" si="56"/>
        <v>53.520408163265309</v>
      </c>
      <c r="R204" s="63" t="s">
        <v>16</v>
      </c>
      <c r="S204" s="64" t="s">
        <v>16</v>
      </c>
      <c r="T204" s="222" t="s">
        <v>1554</v>
      </c>
      <c r="U204" s="222" t="s">
        <v>1554</v>
      </c>
      <c r="V204" s="223">
        <f>30421/1.16</f>
        <v>26225</v>
      </c>
      <c r="W204" s="223">
        <f t="shared" si="55"/>
        <v>365051.99999999994</v>
      </c>
      <c r="X204" s="223">
        <f>ROUND(+W204,2)</f>
        <v>365052</v>
      </c>
      <c r="Y204" s="224"/>
      <c r="Z204" s="167"/>
      <c r="AA204" s="2"/>
    </row>
    <row r="205" spans="1:27" s="34" customFormat="1" ht="93.75" x14ac:dyDescent="0.2">
      <c r="A205" s="41"/>
      <c r="B205" s="290">
        <v>191</v>
      </c>
      <c r="C205" s="290">
        <v>249101</v>
      </c>
      <c r="D205" s="290">
        <v>900110</v>
      </c>
      <c r="E205" s="297" t="s">
        <v>442</v>
      </c>
      <c r="F205" s="291" t="s">
        <v>711</v>
      </c>
      <c r="G205" s="292" t="s">
        <v>305</v>
      </c>
      <c r="H205" s="299" t="s">
        <v>446</v>
      </c>
      <c r="I205" s="65" t="s">
        <v>152</v>
      </c>
      <c r="J205" s="59">
        <v>17035.72</v>
      </c>
      <c r="K205" s="60">
        <v>31</v>
      </c>
      <c r="L205" s="60" t="s">
        <v>1126</v>
      </c>
      <c r="M205" s="60" t="s">
        <v>1127</v>
      </c>
      <c r="N205" s="61">
        <v>43043</v>
      </c>
      <c r="O205" s="62">
        <v>1225</v>
      </c>
      <c r="P205" s="59">
        <v>31891.99</v>
      </c>
      <c r="Q205" s="59">
        <f t="shared" si="56"/>
        <v>26.034277551020409</v>
      </c>
      <c r="R205" s="63">
        <v>2011</v>
      </c>
      <c r="S205" s="64">
        <v>0.1</v>
      </c>
      <c r="T205" s="300" t="s">
        <v>11</v>
      </c>
      <c r="U205" s="300" t="s">
        <v>11</v>
      </c>
      <c r="V205" s="295">
        <f>36995/1.16</f>
        <v>31892.241379310348</v>
      </c>
      <c r="W205" s="295">
        <f t="shared" si="55"/>
        <v>443940</v>
      </c>
      <c r="X205" s="295">
        <f t="shared" ref="X205:X206" si="58">ROUND(+V205*1.15*12*1.16,2)</f>
        <v>510531</v>
      </c>
      <c r="Y205" s="296" t="s">
        <v>1566</v>
      </c>
      <c r="Z205" s="167">
        <f>SUM(X203:X205)</f>
        <v>955623</v>
      </c>
      <c r="AA205" s="19"/>
    </row>
    <row r="206" spans="1:27" s="34" customFormat="1" ht="75" x14ac:dyDescent="0.2">
      <c r="A206" s="41"/>
      <c r="B206" s="290">
        <v>192</v>
      </c>
      <c r="C206" s="290">
        <v>252407</v>
      </c>
      <c r="D206" s="290">
        <v>100902</v>
      </c>
      <c r="E206" s="309" t="s">
        <v>447</v>
      </c>
      <c r="F206" s="291" t="s">
        <v>712</v>
      </c>
      <c r="G206" s="299" t="s">
        <v>448</v>
      </c>
      <c r="H206" s="299" t="s">
        <v>449</v>
      </c>
      <c r="I206" s="95" t="s">
        <v>153</v>
      </c>
      <c r="J206" s="59">
        <v>2800</v>
      </c>
      <c r="K206" s="60">
        <v>9</v>
      </c>
      <c r="L206" s="60" t="s">
        <v>1128</v>
      </c>
      <c r="M206" s="60" t="s">
        <v>1113</v>
      </c>
      <c r="N206" s="61">
        <v>4593</v>
      </c>
      <c r="O206" s="62">
        <v>157.72999999999999</v>
      </c>
      <c r="P206" s="59">
        <v>2800</v>
      </c>
      <c r="Q206" s="59">
        <f t="shared" si="56"/>
        <v>17.751854434793636</v>
      </c>
      <c r="R206" s="63" t="s">
        <v>1334</v>
      </c>
      <c r="S206" s="64" t="s">
        <v>16</v>
      </c>
      <c r="T206" s="300" t="s">
        <v>11</v>
      </c>
      <c r="U206" s="300" t="s">
        <v>11</v>
      </c>
      <c r="V206" s="295">
        <v>2800</v>
      </c>
      <c r="W206" s="295">
        <f t="shared" si="55"/>
        <v>38976</v>
      </c>
      <c r="X206" s="295">
        <f t="shared" si="58"/>
        <v>44822.400000000001</v>
      </c>
      <c r="Y206" s="296" t="s">
        <v>1566</v>
      </c>
      <c r="Z206" s="167"/>
      <c r="AA206" s="19"/>
    </row>
    <row r="207" spans="1:27" s="34" customFormat="1" ht="56.25" x14ac:dyDescent="0.2">
      <c r="A207" s="41"/>
      <c r="B207" s="218">
        <v>193</v>
      </c>
      <c r="C207" s="218">
        <v>259102</v>
      </c>
      <c r="D207" s="218">
        <v>900110</v>
      </c>
      <c r="E207" s="247" t="s">
        <v>447</v>
      </c>
      <c r="F207" s="219" t="s">
        <v>713</v>
      </c>
      <c r="G207" s="228" t="s">
        <v>227</v>
      </c>
      <c r="H207" s="228" t="s">
        <v>546</v>
      </c>
      <c r="I207" s="127" t="s">
        <v>208</v>
      </c>
      <c r="J207" s="59">
        <v>14641.56</v>
      </c>
      <c r="K207" s="60">
        <v>6</v>
      </c>
      <c r="L207" s="60">
        <v>3294</v>
      </c>
      <c r="M207" s="60" t="s">
        <v>1529</v>
      </c>
      <c r="N207" s="61">
        <v>37066</v>
      </c>
      <c r="O207" s="62">
        <v>702</v>
      </c>
      <c r="P207" s="59">
        <v>17569.87</v>
      </c>
      <c r="Q207" s="59">
        <f t="shared" si="56"/>
        <v>25.028304843304841</v>
      </c>
      <c r="R207" s="63">
        <v>2020</v>
      </c>
      <c r="S207" s="64">
        <v>0.6</v>
      </c>
      <c r="T207" s="222" t="s">
        <v>1554</v>
      </c>
      <c r="U207" s="222" t="s">
        <v>1554</v>
      </c>
      <c r="V207" s="223">
        <v>17569.87</v>
      </c>
      <c r="W207" s="223">
        <f t="shared" si="55"/>
        <v>244572.59039999999</v>
      </c>
      <c r="X207" s="223">
        <f t="shared" ref="X207:X210" si="59">ROUND(+W207,2)</f>
        <v>244572.59</v>
      </c>
      <c r="Y207" s="224"/>
      <c r="Z207" s="167"/>
      <c r="AA207" s="19"/>
    </row>
    <row r="208" spans="1:27" s="34" customFormat="1" ht="75" x14ac:dyDescent="0.2">
      <c r="A208" s="41"/>
      <c r="B208" s="218">
        <v>194</v>
      </c>
      <c r="C208" s="218">
        <v>259101</v>
      </c>
      <c r="D208" s="218">
        <v>910201</v>
      </c>
      <c r="E208" s="247" t="s">
        <v>447</v>
      </c>
      <c r="F208" s="219" t="s">
        <v>714</v>
      </c>
      <c r="G208" s="228" t="s">
        <v>227</v>
      </c>
      <c r="H208" s="228" t="s">
        <v>450</v>
      </c>
      <c r="I208" s="95" t="s">
        <v>154</v>
      </c>
      <c r="J208" s="59">
        <v>1552.5</v>
      </c>
      <c r="K208" s="60">
        <v>30</v>
      </c>
      <c r="L208" s="60" t="s">
        <v>1129</v>
      </c>
      <c r="M208" s="60" t="s">
        <v>1130</v>
      </c>
      <c r="N208" s="61">
        <v>5639</v>
      </c>
      <c r="O208" s="62">
        <v>124.48</v>
      </c>
      <c r="P208" s="59">
        <v>4583</v>
      </c>
      <c r="Q208" s="59">
        <f t="shared" si="56"/>
        <v>36.81715938303342</v>
      </c>
      <c r="R208" s="63">
        <v>2007</v>
      </c>
      <c r="S208" s="128">
        <v>0.05</v>
      </c>
      <c r="T208" s="222" t="s">
        <v>1554</v>
      </c>
      <c r="U208" s="222" t="s">
        <v>1554</v>
      </c>
      <c r="V208" s="223">
        <v>4583</v>
      </c>
      <c r="W208" s="223">
        <f t="shared" si="55"/>
        <v>63795.360000000001</v>
      </c>
      <c r="X208" s="223">
        <f t="shared" si="59"/>
        <v>63795.360000000001</v>
      </c>
      <c r="Y208" s="224"/>
      <c r="Z208" s="167"/>
      <c r="AA208" s="19"/>
    </row>
    <row r="209" spans="1:27" s="34" customFormat="1" ht="93.75" x14ac:dyDescent="0.2">
      <c r="A209" s="41"/>
      <c r="B209" s="218">
        <v>195</v>
      </c>
      <c r="C209" s="218">
        <v>259001</v>
      </c>
      <c r="D209" s="218" t="s">
        <v>1282</v>
      </c>
      <c r="E209" s="247" t="s">
        <v>447</v>
      </c>
      <c r="F209" s="219" t="s">
        <v>1473</v>
      </c>
      <c r="G209" s="228" t="s">
        <v>1464</v>
      </c>
      <c r="H209" s="228" t="s">
        <v>1474</v>
      </c>
      <c r="I209" s="95" t="s">
        <v>1466</v>
      </c>
      <c r="J209" s="59">
        <v>12000</v>
      </c>
      <c r="K209" s="60" t="s">
        <v>16</v>
      </c>
      <c r="L209" s="63">
        <v>8942</v>
      </c>
      <c r="M209" s="60" t="s">
        <v>1472</v>
      </c>
      <c r="N209" s="61">
        <v>12041</v>
      </c>
      <c r="O209" s="62">
        <v>130.9</v>
      </c>
      <c r="P209" s="59">
        <v>12000</v>
      </c>
      <c r="Q209" s="59">
        <f t="shared" si="56"/>
        <v>91.673032849503429</v>
      </c>
      <c r="R209" s="63" t="s">
        <v>16</v>
      </c>
      <c r="S209" s="128" t="s">
        <v>16</v>
      </c>
      <c r="T209" s="222" t="s">
        <v>1554</v>
      </c>
      <c r="U209" s="222" t="s">
        <v>1554</v>
      </c>
      <c r="V209" s="223">
        <v>12000</v>
      </c>
      <c r="W209" s="223">
        <f>+V209*12</f>
        <v>144000</v>
      </c>
      <c r="X209" s="223">
        <f t="shared" si="59"/>
        <v>144000</v>
      </c>
      <c r="Y209" s="224"/>
      <c r="Z209" s="167">
        <f>SUM(X206:X209)</f>
        <v>497190.35</v>
      </c>
      <c r="AA209" s="19"/>
    </row>
    <row r="210" spans="1:27" ht="75" x14ac:dyDescent="0.2">
      <c r="B210" s="218">
        <v>196</v>
      </c>
      <c r="C210" s="218">
        <v>260201</v>
      </c>
      <c r="D210" s="218">
        <v>200200</v>
      </c>
      <c r="E210" s="227" t="s">
        <v>451</v>
      </c>
      <c r="F210" s="219" t="s">
        <v>715</v>
      </c>
      <c r="G210" s="228" t="s">
        <v>452</v>
      </c>
      <c r="H210" s="228" t="s">
        <v>454</v>
      </c>
      <c r="I210" s="65" t="s">
        <v>156</v>
      </c>
      <c r="J210" s="59">
        <v>1000</v>
      </c>
      <c r="K210" s="60">
        <v>34</v>
      </c>
      <c r="L210" s="60" t="s">
        <v>1131</v>
      </c>
      <c r="M210" s="60" t="s">
        <v>925</v>
      </c>
      <c r="N210" s="61">
        <v>9395</v>
      </c>
      <c r="O210" s="62">
        <v>328.61</v>
      </c>
      <c r="P210" s="59">
        <v>3543.54</v>
      </c>
      <c r="Q210" s="59">
        <f t="shared" si="56"/>
        <v>10.783421076656218</v>
      </c>
      <c r="R210" s="63">
        <v>2009</v>
      </c>
      <c r="S210" s="128">
        <v>0.04</v>
      </c>
      <c r="T210" s="232" t="s">
        <v>11</v>
      </c>
      <c r="U210" s="222" t="s">
        <v>1554</v>
      </c>
      <c r="V210" s="223">
        <v>3543.54</v>
      </c>
      <c r="W210" s="223">
        <f t="shared" ref="W210:W240" si="60">+V210*1.16*12</f>
        <v>49326.076799999995</v>
      </c>
      <c r="X210" s="223">
        <f t="shared" si="59"/>
        <v>49326.080000000002</v>
      </c>
      <c r="Y210" s="224"/>
      <c r="Z210" s="167"/>
    </row>
    <row r="211" spans="1:27" ht="56.25" x14ac:dyDescent="0.2">
      <c r="B211" s="290">
        <v>197</v>
      </c>
      <c r="C211" s="290">
        <v>262430</v>
      </c>
      <c r="D211" s="290">
        <v>200200</v>
      </c>
      <c r="E211" s="297" t="s">
        <v>451</v>
      </c>
      <c r="F211" s="291" t="s">
        <v>1358</v>
      </c>
      <c r="G211" s="299" t="s">
        <v>453</v>
      </c>
      <c r="H211" s="299" t="s">
        <v>605</v>
      </c>
      <c r="I211" s="95" t="s">
        <v>107</v>
      </c>
      <c r="J211" s="59">
        <v>2463.4</v>
      </c>
      <c r="K211" s="60">
        <v>21</v>
      </c>
      <c r="L211" s="60" t="s">
        <v>1132</v>
      </c>
      <c r="M211" s="60" t="s">
        <v>1133</v>
      </c>
      <c r="N211" s="61">
        <v>3447</v>
      </c>
      <c r="O211" s="62">
        <v>129</v>
      </c>
      <c r="P211" s="59">
        <v>2965.75</v>
      </c>
      <c r="Q211" s="59">
        <f t="shared" si="56"/>
        <v>22.990310077519378</v>
      </c>
      <c r="R211" s="63">
        <v>2008</v>
      </c>
      <c r="S211" s="128">
        <v>0.04</v>
      </c>
      <c r="T211" s="300" t="s">
        <v>11</v>
      </c>
      <c r="U211" s="300" t="s">
        <v>11</v>
      </c>
      <c r="V211" s="295">
        <v>2965.75</v>
      </c>
      <c r="W211" s="295">
        <f t="shared" si="60"/>
        <v>41283.24</v>
      </c>
      <c r="X211" s="295">
        <f>ROUND(+V211*1.15*12*1.16,2)</f>
        <v>47475.73</v>
      </c>
      <c r="Y211" s="296" t="s">
        <v>1566</v>
      </c>
      <c r="Z211" s="167"/>
    </row>
    <row r="212" spans="1:27" s="3" customFormat="1" ht="75" x14ac:dyDescent="0.2">
      <c r="A212" s="40"/>
      <c r="B212" s="262">
        <v>198</v>
      </c>
      <c r="C212" s="262">
        <v>260202</v>
      </c>
      <c r="D212" s="262">
        <v>200200</v>
      </c>
      <c r="E212" s="269" t="s">
        <v>451</v>
      </c>
      <c r="F212" s="263" t="s">
        <v>716</v>
      </c>
      <c r="G212" s="271" t="s">
        <v>586</v>
      </c>
      <c r="H212" s="271" t="s">
        <v>455</v>
      </c>
      <c r="I212" s="95" t="s">
        <v>155</v>
      </c>
      <c r="J212" s="59">
        <v>1538</v>
      </c>
      <c r="K212" s="60">
        <v>29</v>
      </c>
      <c r="L212" s="60" t="s">
        <v>1134</v>
      </c>
      <c r="M212" s="60" t="s">
        <v>1135</v>
      </c>
      <c r="N212" s="61">
        <v>23139</v>
      </c>
      <c r="O212" s="62">
        <v>485</v>
      </c>
      <c r="P212" s="59">
        <v>14490.92</v>
      </c>
      <c r="Q212" s="59">
        <f t="shared" si="56"/>
        <v>29.878185567010309</v>
      </c>
      <c r="R212" s="63">
        <v>2009</v>
      </c>
      <c r="S212" s="129">
        <v>0.03</v>
      </c>
      <c r="T212" s="272" t="s">
        <v>11</v>
      </c>
      <c r="U212" s="272" t="s">
        <v>13</v>
      </c>
      <c r="V212" s="267">
        <v>14490.92</v>
      </c>
      <c r="W212" s="267">
        <f t="shared" si="60"/>
        <v>201713.60639999999</v>
      </c>
      <c r="X212" s="267">
        <f t="shared" ref="X212:X215" si="61">ROUND(+V212*1.16*12*1.1,2)</f>
        <v>221884.97</v>
      </c>
      <c r="Y212" s="268" t="s">
        <v>1567</v>
      </c>
      <c r="Z212" s="167"/>
    </row>
    <row r="213" spans="1:27" s="33" customFormat="1" ht="93.75" x14ac:dyDescent="0.2">
      <c r="A213" s="41"/>
      <c r="B213" s="262">
        <v>199</v>
      </c>
      <c r="C213" s="283" t="s">
        <v>1321</v>
      </c>
      <c r="D213" s="283" t="s">
        <v>1322</v>
      </c>
      <c r="E213" s="269" t="s">
        <v>451</v>
      </c>
      <c r="F213" s="263" t="s">
        <v>717</v>
      </c>
      <c r="G213" s="271" t="s">
        <v>373</v>
      </c>
      <c r="H213" s="271" t="s">
        <v>456</v>
      </c>
      <c r="I213" s="95" t="s">
        <v>214</v>
      </c>
      <c r="J213" s="59">
        <v>134000</v>
      </c>
      <c r="K213" s="60">
        <v>5</v>
      </c>
      <c r="L213" s="60">
        <v>5752</v>
      </c>
      <c r="M213" s="60" t="s">
        <v>1136</v>
      </c>
      <c r="N213" s="61">
        <v>392523</v>
      </c>
      <c r="O213" s="130">
        <v>2567.02</v>
      </c>
      <c r="P213" s="131">
        <v>107635</v>
      </c>
      <c r="Q213" s="59">
        <f t="shared" si="56"/>
        <v>41.929942111865117</v>
      </c>
      <c r="R213" s="63" t="s">
        <v>1334</v>
      </c>
      <c r="S213" s="74" t="s">
        <v>16</v>
      </c>
      <c r="T213" s="272" t="s">
        <v>13</v>
      </c>
      <c r="U213" s="272" t="s">
        <v>13</v>
      </c>
      <c r="V213" s="267">
        <v>107635</v>
      </c>
      <c r="W213" s="267">
        <f t="shared" si="60"/>
        <v>1498279.2</v>
      </c>
      <c r="X213" s="267">
        <f t="shared" si="61"/>
        <v>1648107.12</v>
      </c>
      <c r="Y213" s="268" t="s">
        <v>1567</v>
      </c>
      <c r="Z213" s="167"/>
      <c r="AA213" s="3"/>
    </row>
    <row r="214" spans="1:27" s="3" customFormat="1" ht="150" x14ac:dyDescent="0.2">
      <c r="A214" s="40"/>
      <c r="B214" s="262">
        <v>200</v>
      </c>
      <c r="C214" s="262">
        <v>269101</v>
      </c>
      <c r="D214" s="262">
        <v>900110</v>
      </c>
      <c r="E214" s="269" t="s">
        <v>451</v>
      </c>
      <c r="F214" s="263" t="s">
        <v>718</v>
      </c>
      <c r="G214" s="271" t="s">
        <v>587</v>
      </c>
      <c r="H214" s="271" t="s">
        <v>457</v>
      </c>
      <c r="I214" s="95" t="s">
        <v>157</v>
      </c>
      <c r="J214" s="59">
        <f>7000+11833.85+600+2000</f>
        <v>21433.85</v>
      </c>
      <c r="K214" s="60">
        <v>32</v>
      </c>
      <c r="L214" s="60">
        <v>3112</v>
      </c>
      <c r="M214" s="60" t="s">
        <v>1137</v>
      </c>
      <c r="N214" s="61">
        <v>232064</v>
      </c>
      <c r="O214" s="62">
        <v>2240</v>
      </c>
      <c r="P214" s="131">
        <v>134000</v>
      </c>
      <c r="Q214" s="59">
        <f t="shared" si="56"/>
        <v>59.821428571428569</v>
      </c>
      <c r="R214" s="63">
        <v>2009</v>
      </c>
      <c r="S214" s="132">
        <v>1.2775000000000001</v>
      </c>
      <c r="T214" s="272" t="s">
        <v>13</v>
      </c>
      <c r="U214" s="272" t="s">
        <v>13</v>
      </c>
      <c r="V214" s="267">
        <v>134000</v>
      </c>
      <c r="W214" s="267">
        <f t="shared" si="60"/>
        <v>1865280</v>
      </c>
      <c r="X214" s="267">
        <f t="shared" si="61"/>
        <v>2051808</v>
      </c>
      <c r="Y214" s="268" t="s">
        <v>1567</v>
      </c>
      <c r="Z214" s="167"/>
    </row>
    <row r="215" spans="1:27" s="3" customFormat="1" ht="93.75" x14ac:dyDescent="0.2">
      <c r="A215" s="40"/>
      <c r="B215" s="262">
        <v>201</v>
      </c>
      <c r="C215" s="262">
        <v>269103</v>
      </c>
      <c r="D215" s="262">
        <v>900110</v>
      </c>
      <c r="E215" s="269" t="s">
        <v>451</v>
      </c>
      <c r="F215" s="263" t="s">
        <v>719</v>
      </c>
      <c r="G215" s="271" t="s">
        <v>373</v>
      </c>
      <c r="H215" s="271" t="s">
        <v>603</v>
      </c>
      <c r="I215" s="65" t="s">
        <v>92</v>
      </c>
      <c r="J215" s="59">
        <v>16660</v>
      </c>
      <c r="K215" s="60">
        <v>26</v>
      </c>
      <c r="L215" s="60" t="s">
        <v>1138</v>
      </c>
      <c r="M215" s="60" t="s">
        <v>1139</v>
      </c>
      <c r="N215" s="61">
        <v>82018</v>
      </c>
      <c r="O215" s="62">
        <v>1801</v>
      </c>
      <c r="P215" s="59">
        <v>42893.87</v>
      </c>
      <c r="Q215" s="59">
        <f t="shared" si="56"/>
        <v>23.816696279844532</v>
      </c>
      <c r="R215" s="63">
        <v>2009</v>
      </c>
      <c r="S215" s="132">
        <v>0.1116</v>
      </c>
      <c r="T215" s="272" t="s">
        <v>13</v>
      </c>
      <c r="U215" s="272" t="s">
        <v>13</v>
      </c>
      <c r="V215" s="267">
        <v>42893.37</v>
      </c>
      <c r="W215" s="267">
        <f t="shared" si="60"/>
        <v>597075.71039999998</v>
      </c>
      <c r="X215" s="267">
        <f t="shared" si="61"/>
        <v>656783.28</v>
      </c>
      <c r="Y215" s="268" t="s">
        <v>1567</v>
      </c>
      <c r="Z215" s="167"/>
    </row>
    <row r="216" spans="1:27" s="3" customFormat="1" ht="75" x14ac:dyDescent="0.2">
      <c r="A216" s="40"/>
      <c r="B216" s="218">
        <v>202</v>
      </c>
      <c r="C216" s="218">
        <v>265904</v>
      </c>
      <c r="D216" s="218">
        <v>380200</v>
      </c>
      <c r="E216" s="227" t="s">
        <v>451</v>
      </c>
      <c r="F216" s="219" t="s">
        <v>1359</v>
      </c>
      <c r="G216" s="228" t="s">
        <v>261</v>
      </c>
      <c r="H216" s="228" t="s">
        <v>1360</v>
      </c>
      <c r="I216" s="65" t="s">
        <v>1357</v>
      </c>
      <c r="J216" s="59">
        <v>62937</v>
      </c>
      <c r="K216" s="60">
        <v>2</v>
      </c>
      <c r="L216" s="60">
        <v>7959</v>
      </c>
      <c r="M216" s="60" t="s">
        <v>1361</v>
      </c>
      <c r="N216" s="61">
        <v>71885</v>
      </c>
      <c r="O216" s="62">
        <v>480</v>
      </c>
      <c r="P216" s="59">
        <v>62937</v>
      </c>
      <c r="Q216" s="59">
        <f t="shared" si="56"/>
        <v>131.11875000000001</v>
      </c>
      <c r="R216" s="63" t="s">
        <v>16</v>
      </c>
      <c r="S216" s="132" t="s">
        <v>16</v>
      </c>
      <c r="T216" s="222" t="s">
        <v>1554</v>
      </c>
      <c r="U216" s="222" t="s">
        <v>1554</v>
      </c>
      <c r="V216" s="223">
        <v>62937</v>
      </c>
      <c r="W216" s="223">
        <f t="shared" si="60"/>
        <v>876083.04</v>
      </c>
      <c r="X216" s="223">
        <f t="shared" ref="X216:X217" si="62">ROUND(+W216,2)</f>
        <v>876083.04</v>
      </c>
      <c r="Y216" s="224"/>
      <c r="Z216" s="167"/>
    </row>
    <row r="217" spans="1:27" s="3" customFormat="1" ht="56.25" x14ac:dyDescent="0.2">
      <c r="A217" s="40"/>
      <c r="B217" s="218">
        <v>203</v>
      </c>
      <c r="C217" s="218">
        <v>268102</v>
      </c>
      <c r="D217" s="218">
        <v>150904</v>
      </c>
      <c r="E217" s="227" t="s">
        <v>451</v>
      </c>
      <c r="F217" s="219" t="s">
        <v>720</v>
      </c>
      <c r="G217" s="228" t="s">
        <v>387</v>
      </c>
      <c r="H217" s="228" t="s">
        <v>604</v>
      </c>
      <c r="I217" s="65" t="s">
        <v>158</v>
      </c>
      <c r="J217" s="59">
        <v>2500</v>
      </c>
      <c r="K217" s="60">
        <v>29</v>
      </c>
      <c r="L217" s="60" t="s">
        <v>1140</v>
      </c>
      <c r="M217" s="60" t="s">
        <v>1141</v>
      </c>
      <c r="N217" s="61">
        <v>12072</v>
      </c>
      <c r="O217" s="62">
        <v>400</v>
      </c>
      <c r="P217" s="59">
        <v>7787.02</v>
      </c>
      <c r="Q217" s="59">
        <f t="shared" si="56"/>
        <v>19.467550000000003</v>
      </c>
      <c r="R217" s="63">
        <v>2008</v>
      </c>
      <c r="S217" s="128">
        <v>0.04</v>
      </c>
      <c r="T217" s="222" t="s">
        <v>1554</v>
      </c>
      <c r="U217" s="222" t="s">
        <v>1554</v>
      </c>
      <c r="V217" s="223">
        <v>7787.02</v>
      </c>
      <c r="W217" s="223">
        <f t="shared" si="60"/>
        <v>108395.31839999999</v>
      </c>
      <c r="X217" s="223">
        <f t="shared" si="62"/>
        <v>108395.32</v>
      </c>
      <c r="Y217" s="224"/>
      <c r="Z217" s="167"/>
    </row>
    <row r="218" spans="1:27" s="3" customFormat="1" ht="75" x14ac:dyDescent="0.2">
      <c r="A218" s="40"/>
      <c r="B218" s="262">
        <v>204</v>
      </c>
      <c r="C218" s="262">
        <v>268103</v>
      </c>
      <c r="D218" s="262">
        <v>920100</v>
      </c>
      <c r="E218" s="269" t="s">
        <v>451</v>
      </c>
      <c r="F218" s="263" t="s">
        <v>721</v>
      </c>
      <c r="G218" s="271" t="s">
        <v>386</v>
      </c>
      <c r="H218" s="271" t="s">
        <v>458</v>
      </c>
      <c r="I218" s="65" t="s">
        <v>155</v>
      </c>
      <c r="J218" s="59">
        <v>3000</v>
      </c>
      <c r="K218" s="60">
        <v>29</v>
      </c>
      <c r="L218" s="60" t="s">
        <v>1142</v>
      </c>
      <c r="M218" s="60" t="s">
        <v>1143</v>
      </c>
      <c r="N218" s="61">
        <v>13056</v>
      </c>
      <c r="O218" s="62">
        <v>400</v>
      </c>
      <c r="P218" s="59">
        <v>5507.57</v>
      </c>
      <c r="Q218" s="59">
        <f t="shared" si="56"/>
        <v>13.768924999999999</v>
      </c>
      <c r="R218" s="63" t="s">
        <v>1330</v>
      </c>
      <c r="S218" s="133" t="s">
        <v>16</v>
      </c>
      <c r="T218" s="272" t="s">
        <v>13</v>
      </c>
      <c r="U218" s="272" t="s">
        <v>13</v>
      </c>
      <c r="V218" s="267">
        <v>5507.57</v>
      </c>
      <c r="W218" s="267">
        <f t="shared" si="60"/>
        <v>76665.374400000001</v>
      </c>
      <c r="X218" s="267">
        <f>ROUND(+V218*1.16*12*1.1,2)</f>
        <v>84331.91</v>
      </c>
      <c r="Y218" s="268" t="s">
        <v>1567</v>
      </c>
      <c r="Z218" s="167"/>
    </row>
    <row r="219" spans="1:27" s="3" customFormat="1" ht="93.75" x14ac:dyDescent="0.2">
      <c r="A219" s="40"/>
      <c r="B219" s="218">
        <v>205</v>
      </c>
      <c r="C219" s="218">
        <v>268101</v>
      </c>
      <c r="D219" s="218">
        <v>150904</v>
      </c>
      <c r="E219" s="227" t="s">
        <v>451</v>
      </c>
      <c r="F219" s="219" t="s">
        <v>722</v>
      </c>
      <c r="G219" s="228" t="s">
        <v>561</v>
      </c>
      <c r="H219" s="228" t="s">
        <v>604</v>
      </c>
      <c r="I219" s="134" t="s">
        <v>219</v>
      </c>
      <c r="J219" s="59">
        <v>1700</v>
      </c>
      <c r="K219" s="60">
        <v>30</v>
      </c>
      <c r="L219" s="60" t="s">
        <v>1144</v>
      </c>
      <c r="M219" s="60" t="s">
        <v>1141</v>
      </c>
      <c r="N219" s="61">
        <v>10389</v>
      </c>
      <c r="O219" s="130">
        <v>345.38</v>
      </c>
      <c r="P219" s="59">
        <v>6683.04</v>
      </c>
      <c r="Q219" s="59">
        <f t="shared" si="56"/>
        <v>19.349817592217267</v>
      </c>
      <c r="R219" s="63">
        <v>2008</v>
      </c>
      <c r="S219" s="128">
        <v>0.04</v>
      </c>
      <c r="T219" s="222" t="s">
        <v>1554</v>
      </c>
      <c r="U219" s="222" t="s">
        <v>1554</v>
      </c>
      <c r="V219" s="223">
        <v>6683.04</v>
      </c>
      <c r="W219" s="223">
        <f t="shared" si="60"/>
        <v>93027.916799999992</v>
      </c>
      <c r="X219" s="223">
        <f>ROUND(+W219,2)</f>
        <v>93027.92</v>
      </c>
      <c r="Y219" s="224"/>
      <c r="Z219" s="167"/>
    </row>
    <row r="220" spans="1:27" s="3" customFormat="1" ht="75" x14ac:dyDescent="0.2">
      <c r="A220" s="40"/>
      <c r="B220" s="262">
        <v>206</v>
      </c>
      <c r="C220" s="262">
        <v>269001</v>
      </c>
      <c r="D220" s="262">
        <v>140100</v>
      </c>
      <c r="E220" s="269" t="s">
        <v>451</v>
      </c>
      <c r="F220" s="263" t="s">
        <v>723</v>
      </c>
      <c r="G220" s="271" t="s">
        <v>459</v>
      </c>
      <c r="H220" s="271" t="s">
        <v>1375</v>
      </c>
      <c r="I220" s="95" t="s">
        <v>116</v>
      </c>
      <c r="J220" s="59">
        <v>9331.5</v>
      </c>
      <c r="K220" s="60">
        <v>6</v>
      </c>
      <c r="L220" s="60">
        <v>1869</v>
      </c>
      <c r="M220" s="60" t="s">
        <v>1145</v>
      </c>
      <c r="N220" s="61">
        <v>35993.46</v>
      </c>
      <c r="O220" s="62">
        <v>373.26</v>
      </c>
      <c r="P220" s="59">
        <v>9331.5</v>
      </c>
      <c r="Q220" s="59">
        <f t="shared" si="56"/>
        <v>25</v>
      </c>
      <c r="R220" s="63" t="s">
        <v>1334</v>
      </c>
      <c r="S220" s="133" t="s">
        <v>16</v>
      </c>
      <c r="T220" s="272" t="s">
        <v>13</v>
      </c>
      <c r="U220" s="272" t="s">
        <v>13</v>
      </c>
      <c r="V220" s="267">
        <v>9331.5</v>
      </c>
      <c r="W220" s="267">
        <f t="shared" si="60"/>
        <v>129894.47999999998</v>
      </c>
      <c r="X220" s="267">
        <f t="shared" ref="X220:X224" si="63">ROUND(+V220*1.16*12*1.1,2)</f>
        <v>142883.93</v>
      </c>
      <c r="Y220" s="268" t="s">
        <v>1567</v>
      </c>
      <c r="Z220" s="167"/>
    </row>
    <row r="221" spans="1:27" s="3" customFormat="1" ht="56.25" x14ac:dyDescent="0.2">
      <c r="A221" s="40"/>
      <c r="B221" s="262">
        <v>207</v>
      </c>
      <c r="C221" s="262">
        <v>266301</v>
      </c>
      <c r="D221" s="262" t="s">
        <v>1323</v>
      </c>
      <c r="E221" s="269" t="s">
        <v>451</v>
      </c>
      <c r="F221" s="263" t="s">
        <v>724</v>
      </c>
      <c r="G221" s="271" t="s">
        <v>460</v>
      </c>
      <c r="H221" s="271" t="s">
        <v>461</v>
      </c>
      <c r="I221" s="95" t="s">
        <v>50</v>
      </c>
      <c r="J221" s="59">
        <v>1835</v>
      </c>
      <c r="K221" s="60">
        <v>8</v>
      </c>
      <c r="L221" s="60" t="s">
        <v>1146</v>
      </c>
      <c r="M221" s="60" t="s">
        <v>1147</v>
      </c>
      <c r="N221" s="61">
        <v>1835</v>
      </c>
      <c r="O221" s="62">
        <v>13.16</v>
      </c>
      <c r="P221" s="59">
        <v>1899.22</v>
      </c>
      <c r="Q221" s="59">
        <f t="shared" si="56"/>
        <v>144.31762917933131</v>
      </c>
      <c r="R221" s="63">
        <v>2020</v>
      </c>
      <c r="S221" s="128">
        <v>0.03</v>
      </c>
      <c r="T221" s="266" t="s">
        <v>1554</v>
      </c>
      <c r="U221" s="272" t="s">
        <v>13</v>
      </c>
      <c r="V221" s="267">
        <v>1899.22</v>
      </c>
      <c r="W221" s="267">
        <f t="shared" si="60"/>
        <v>26437.142399999997</v>
      </c>
      <c r="X221" s="267">
        <f t="shared" si="63"/>
        <v>29080.86</v>
      </c>
      <c r="Y221" s="268" t="s">
        <v>1567</v>
      </c>
      <c r="Z221" s="167">
        <f>SUM(X210:X221)</f>
        <v>6009188.1600000011</v>
      </c>
    </row>
    <row r="222" spans="1:27" s="3" customFormat="1" ht="75" x14ac:dyDescent="0.2">
      <c r="A222" s="40"/>
      <c r="B222" s="262">
        <v>208</v>
      </c>
      <c r="C222" s="262">
        <v>272402</v>
      </c>
      <c r="D222" s="262">
        <v>200200</v>
      </c>
      <c r="E222" s="269" t="s">
        <v>462</v>
      </c>
      <c r="F222" s="263" t="s">
        <v>725</v>
      </c>
      <c r="G222" s="271" t="s">
        <v>463</v>
      </c>
      <c r="H222" s="271" t="s">
        <v>467</v>
      </c>
      <c r="I222" s="65" t="s">
        <v>159</v>
      </c>
      <c r="J222" s="59">
        <v>89137</v>
      </c>
      <c r="K222" s="60">
        <v>14</v>
      </c>
      <c r="L222" s="60" t="s">
        <v>1148</v>
      </c>
      <c r="M222" s="60" t="s">
        <v>1149</v>
      </c>
      <c r="N222" s="61">
        <v>94718.53</v>
      </c>
      <c r="O222" s="62">
        <v>1714.19</v>
      </c>
      <c r="P222" s="59">
        <v>94718.53</v>
      </c>
      <c r="Q222" s="59">
        <f t="shared" si="56"/>
        <v>55.255560935485562</v>
      </c>
      <c r="R222" s="63">
        <v>2011</v>
      </c>
      <c r="S222" s="75">
        <v>2.4E-2</v>
      </c>
      <c r="T222" s="272" t="s">
        <v>11</v>
      </c>
      <c r="U222" s="272" t="s">
        <v>13</v>
      </c>
      <c r="V222" s="267">
        <v>94718.53</v>
      </c>
      <c r="W222" s="267">
        <f t="shared" si="60"/>
        <v>1318481.9375999998</v>
      </c>
      <c r="X222" s="267">
        <f t="shared" si="63"/>
        <v>1450330.13</v>
      </c>
      <c r="Y222" s="268" t="s">
        <v>1567</v>
      </c>
      <c r="Z222" s="167"/>
    </row>
    <row r="223" spans="1:27" s="3" customFormat="1" ht="56.25" x14ac:dyDescent="0.2">
      <c r="A223" s="40"/>
      <c r="B223" s="262">
        <v>209</v>
      </c>
      <c r="C223" s="262">
        <v>272420</v>
      </c>
      <c r="D223" s="262">
        <v>200200</v>
      </c>
      <c r="E223" s="269" t="s">
        <v>462</v>
      </c>
      <c r="F223" s="263" t="s">
        <v>726</v>
      </c>
      <c r="G223" s="271" t="s">
        <v>321</v>
      </c>
      <c r="H223" s="271" t="s">
        <v>468</v>
      </c>
      <c r="I223" s="95" t="s">
        <v>160</v>
      </c>
      <c r="J223" s="59">
        <v>2479.4</v>
      </c>
      <c r="K223" s="60">
        <v>25</v>
      </c>
      <c r="L223" s="60" t="s">
        <v>1150</v>
      </c>
      <c r="M223" s="60" t="s">
        <v>1151</v>
      </c>
      <c r="N223" s="61">
        <v>4876</v>
      </c>
      <c r="O223" s="62">
        <v>180</v>
      </c>
      <c r="P223" s="59">
        <v>4406</v>
      </c>
      <c r="Q223" s="59">
        <f t="shared" si="56"/>
        <v>24.477777777777778</v>
      </c>
      <c r="R223" s="63">
        <v>2008</v>
      </c>
      <c r="S223" s="128">
        <v>0.03</v>
      </c>
      <c r="T223" s="272" t="s">
        <v>11</v>
      </c>
      <c r="U223" s="272" t="s">
        <v>13</v>
      </c>
      <c r="V223" s="267">
        <v>4406</v>
      </c>
      <c r="W223" s="267">
        <f t="shared" si="60"/>
        <v>61331.520000000004</v>
      </c>
      <c r="X223" s="267">
        <f t="shared" si="63"/>
        <v>67464.67</v>
      </c>
      <c r="Y223" s="268" t="s">
        <v>1567</v>
      </c>
      <c r="Z223" s="167"/>
    </row>
    <row r="224" spans="1:27" s="3" customFormat="1" ht="75" x14ac:dyDescent="0.2">
      <c r="A224" s="40"/>
      <c r="B224" s="262">
        <v>210</v>
      </c>
      <c r="C224" s="262">
        <v>272440</v>
      </c>
      <c r="D224" s="262">
        <v>200200</v>
      </c>
      <c r="E224" s="269" t="s">
        <v>462</v>
      </c>
      <c r="F224" s="263" t="s">
        <v>727</v>
      </c>
      <c r="G224" s="271" t="s">
        <v>464</v>
      </c>
      <c r="H224" s="271" t="s">
        <v>469</v>
      </c>
      <c r="I224" s="65" t="s">
        <v>161</v>
      </c>
      <c r="J224" s="59">
        <v>2000</v>
      </c>
      <c r="K224" s="60">
        <v>20</v>
      </c>
      <c r="L224" s="60" t="s">
        <v>1152</v>
      </c>
      <c r="M224" s="60" t="s">
        <v>1153</v>
      </c>
      <c r="N224" s="61">
        <v>3367</v>
      </c>
      <c r="O224" s="62">
        <v>179</v>
      </c>
      <c r="P224" s="59">
        <v>3200</v>
      </c>
      <c r="Q224" s="59">
        <f t="shared" si="56"/>
        <v>17.877094972067038</v>
      </c>
      <c r="R224" s="63">
        <v>2010</v>
      </c>
      <c r="S224" s="132">
        <v>0.52380000000000004</v>
      </c>
      <c r="T224" s="272" t="s">
        <v>13</v>
      </c>
      <c r="U224" s="272" t="s">
        <v>13</v>
      </c>
      <c r="V224" s="267">
        <v>3200</v>
      </c>
      <c r="W224" s="267">
        <f t="shared" si="60"/>
        <v>44543.999999999993</v>
      </c>
      <c r="X224" s="267">
        <f t="shared" si="63"/>
        <v>48998.400000000001</v>
      </c>
      <c r="Y224" s="268" t="s">
        <v>1567</v>
      </c>
      <c r="Z224" s="167"/>
    </row>
    <row r="225" spans="1:27" s="3" customFormat="1" ht="93.75" x14ac:dyDescent="0.2">
      <c r="A225" s="40"/>
      <c r="B225" s="290">
        <v>211</v>
      </c>
      <c r="C225" s="290">
        <v>272454</v>
      </c>
      <c r="D225" s="290">
        <v>200200</v>
      </c>
      <c r="E225" s="297" t="s">
        <v>462</v>
      </c>
      <c r="F225" s="291" t="s">
        <v>728</v>
      </c>
      <c r="G225" s="299" t="s">
        <v>589</v>
      </c>
      <c r="H225" s="299" t="s">
        <v>470</v>
      </c>
      <c r="I225" s="65" t="s">
        <v>162</v>
      </c>
      <c r="J225" s="59">
        <v>60000</v>
      </c>
      <c r="K225" s="60">
        <v>17</v>
      </c>
      <c r="L225" s="60" t="s">
        <v>1154</v>
      </c>
      <c r="M225" s="60" t="s">
        <v>1155</v>
      </c>
      <c r="N225" s="61">
        <v>72945</v>
      </c>
      <c r="O225" s="62">
        <v>718.16</v>
      </c>
      <c r="P225" s="59">
        <v>72945</v>
      </c>
      <c r="Q225" s="59">
        <f t="shared" si="56"/>
        <v>101.57207307563775</v>
      </c>
      <c r="R225" s="63">
        <v>2008</v>
      </c>
      <c r="S225" s="132">
        <v>2.75E-2</v>
      </c>
      <c r="T225" s="300" t="s">
        <v>11</v>
      </c>
      <c r="U225" s="300" t="s">
        <v>11</v>
      </c>
      <c r="V225" s="295">
        <v>72945</v>
      </c>
      <c r="W225" s="295">
        <f t="shared" si="60"/>
        <v>1015394.3999999999</v>
      </c>
      <c r="X225" s="295">
        <f t="shared" ref="X225:X226" si="64">ROUND(+V225*1.15*12*1.16,2)</f>
        <v>1167703.56</v>
      </c>
      <c r="Y225" s="296" t="s">
        <v>1566</v>
      </c>
      <c r="Z225" s="167"/>
    </row>
    <row r="226" spans="1:27" s="3" customFormat="1" ht="56.25" x14ac:dyDescent="0.2">
      <c r="A226" s="40"/>
      <c r="B226" s="290">
        <v>212</v>
      </c>
      <c r="C226" s="290">
        <v>272460</v>
      </c>
      <c r="D226" s="290">
        <v>200200</v>
      </c>
      <c r="E226" s="297" t="s">
        <v>462</v>
      </c>
      <c r="F226" s="291" t="s">
        <v>729</v>
      </c>
      <c r="G226" s="299" t="s">
        <v>465</v>
      </c>
      <c r="H226" s="310" t="s">
        <v>471</v>
      </c>
      <c r="I226" s="65" t="s">
        <v>163</v>
      </c>
      <c r="J226" s="59">
        <v>31329</v>
      </c>
      <c r="K226" s="60">
        <v>14</v>
      </c>
      <c r="L226" s="60" t="s">
        <v>1156</v>
      </c>
      <c r="M226" s="60" t="s">
        <v>941</v>
      </c>
      <c r="N226" s="61">
        <v>33022</v>
      </c>
      <c r="O226" s="62">
        <v>359</v>
      </c>
      <c r="P226" s="59">
        <v>31329</v>
      </c>
      <c r="Q226" s="59">
        <f t="shared" si="56"/>
        <v>87.267409470752085</v>
      </c>
      <c r="R226" s="63" t="s">
        <v>1334</v>
      </c>
      <c r="S226" s="133" t="s">
        <v>16</v>
      </c>
      <c r="T226" s="300" t="s">
        <v>11</v>
      </c>
      <c r="U226" s="300" t="s">
        <v>11</v>
      </c>
      <c r="V226" s="295">
        <v>31329</v>
      </c>
      <c r="W226" s="295">
        <f t="shared" si="60"/>
        <v>436099.68</v>
      </c>
      <c r="X226" s="295">
        <f t="shared" si="64"/>
        <v>501514.63</v>
      </c>
      <c r="Y226" s="296" t="s">
        <v>1566</v>
      </c>
      <c r="Z226" s="167"/>
    </row>
    <row r="227" spans="1:27" s="3" customFormat="1" ht="56.25" x14ac:dyDescent="0.2">
      <c r="A227" s="40"/>
      <c r="B227" s="262">
        <v>213</v>
      </c>
      <c r="C227" s="262">
        <v>276308</v>
      </c>
      <c r="D227" s="262">
        <v>320200</v>
      </c>
      <c r="E227" s="269" t="s">
        <v>462</v>
      </c>
      <c r="F227" s="263" t="s">
        <v>730</v>
      </c>
      <c r="G227" s="271" t="s">
        <v>574</v>
      </c>
      <c r="H227" s="271" t="s">
        <v>472</v>
      </c>
      <c r="I227" s="65" t="s">
        <v>164</v>
      </c>
      <c r="J227" s="59">
        <v>19326</v>
      </c>
      <c r="K227" s="60">
        <v>21</v>
      </c>
      <c r="L227" s="60" t="s">
        <v>1157</v>
      </c>
      <c r="M227" s="60" t="s">
        <v>1158</v>
      </c>
      <c r="N227" s="61">
        <v>26675</v>
      </c>
      <c r="O227" s="62">
        <v>800</v>
      </c>
      <c r="P227" s="59">
        <v>22960</v>
      </c>
      <c r="Q227" s="59">
        <f t="shared" si="56"/>
        <v>28.7</v>
      </c>
      <c r="R227" s="63">
        <v>2010</v>
      </c>
      <c r="S227" s="75">
        <v>6.6000000000000003E-2</v>
      </c>
      <c r="T227" s="272" t="s">
        <v>13</v>
      </c>
      <c r="U227" s="272" t="s">
        <v>13</v>
      </c>
      <c r="V227" s="267">
        <v>22960</v>
      </c>
      <c r="W227" s="267">
        <f t="shared" si="60"/>
        <v>319603.19999999995</v>
      </c>
      <c r="X227" s="267">
        <f>ROUND(+V227*1.16*12*1.1,2)</f>
        <v>351563.52000000002</v>
      </c>
      <c r="Y227" s="268" t="s">
        <v>1567</v>
      </c>
      <c r="Z227" s="167"/>
    </row>
    <row r="228" spans="1:27" s="3" customFormat="1" ht="75" x14ac:dyDescent="0.2">
      <c r="A228" s="40"/>
      <c r="B228" s="290">
        <v>214</v>
      </c>
      <c r="C228" s="311" t="s">
        <v>1324</v>
      </c>
      <c r="D228" s="311" t="s">
        <v>1325</v>
      </c>
      <c r="E228" s="297" t="s">
        <v>462</v>
      </c>
      <c r="F228" s="291" t="s">
        <v>731</v>
      </c>
      <c r="G228" s="299" t="s">
        <v>466</v>
      </c>
      <c r="H228" s="299" t="s">
        <v>473</v>
      </c>
      <c r="I228" s="65" t="s">
        <v>165</v>
      </c>
      <c r="J228" s="59">
        <v>35200</v>
      </c>
      <c r="K228" s="60">
        <v>21</v>
      </c>
      <c r="L228" s="60" t="s">
        <v>1159</v>
      </c>
      <c r="M228" s="60" t="s">
        <v>1160</v>
      </c>
      <c r="N228" s="61">
        <v>52670</v>
      </c>
      <c r="O228" s="62">
        <v>1173.31</v>
      </c>
      <c r="P228" s="59">
        <v>43890</v>
      </c>
      <c r="Q228" s="59">
        <f t="shared" si="56"/>
        <v>37.406993889083026</v>
      </c>
      <c r="R228" s="63">
        <v>2008</v>
      </c>
      <c r="S228" s="128">
        <v>0.05</v>
      </c>
      <c r="T228" s="300" t="s">
        <v>11</v>
      </c>
      <c r="U228" s="300" t="s">
        <v>11</v>
      </c>
      <c r="V228" s="295">
        <f>47402/1.16</f>
        <v>40863.793103448275</v>
      </c>
      <c r="W228" s="295">
        <f t="shared" si="60"/>
        <v>568823.99999999988</v>
      </c>
      <c r="X228" s="295">
        <f>ROUND(+V228*1.15*12*1.16,2)</f>
        <v>654147.6</v>
      </c>
      <c r="Y228" s="296" t="s">
        <v>1566</v>
      </c>
      <c r="Z228" s="167"/>
    </row>
    <row r="229" spans="1:27" s="3" customFormat="1" ht="75" x14ac:dyDescent="0.2">
      <c r="A229" s="40"/>
      <c r="B229" s="262">
        <v>215</v>
      </c>
      <c r="C229" s="262">
        <v>279108</v>
      </c>
      <c r="D229" s="262">
        <v>900110</v>
      </c>
      <c r="E229" s="269" t="s">
        <v>462</v>
      </c>
      <c r="F229" s="263" t="s">
        <v>732</v>
      </c>
      <c r="G229" s="271" t="s">
        <v>326</v>
      </c>
      <c r="H229" s="271" t="s">
        <v>610</v>
      </c>
      <c r="I229" s="135" t="s">
        <v>588</v>
      </c>
      <c r="J229" s="131">
        <v>184981.2</v>
      </c>
      <c r="K229" s="60">
        <v>3</v>
      </c>
      <c r="L229" s="60">
        <v>6381</v>
      </c>
      <c r="M229" s="60" t="s">
        <v>1161</v>
      </c>
      <c r="N229" s="61">
        <v>401871</v>
      </c>
      <c r="O229" s="62">
        <v>1668</v>
      </c>
      <c r="P229" s="59">
        <v>184981.2</v>
      </c>
      <c r="Q229" s="59">
        <f t="shared" si="56"/>
        <v>110.9</v>
      </c>
      <c r="R229" s="63" t="s">
        <v>16</v>
      </c>
      <c r="S229" s="128" t="s">
        <v>16</v>
      </c>
      <c r="T229" s="272" t="s">
        <v>13</v>
      </c>
      <c r="U229" s="272" t="s">
        <v>13</v>
      </c>
      <c r="V229" s="267">
        <v>184981.2</v>
      </c>
      <c r="W229" s="267">
        <f t="shared" si="60"/>
        <v>2574938.304</v>
      </c>
      <c r="X229" s="267">
        <f>ROUND(+V229*1.16*12*1.1,2)</f>
        <v>2832432.13</v>
      </c>
      <c r="Y229" s="268" t="s">
        <v>1567</v>
      </c>
      <c r="Z229" s="167"/>
    </row>
    <row r="230" spans="1:27" s="3" customFormat="1" ht="75" x14ac:dyDescent="0.2">
      <c r="A230" s="40"/>
      <c r="B230" s="290">
        <v>216</v>
      </c>
      <c r="C230" s="290">
        <v>279104</v>
      </c>
      <c r="D230" s="290">
        <v>900110</v>
      </c>
      <c r="E230" s="297" t="s">
        <v>462</v>
      </c>
      <c r="F230" s="291" t="s">
        <v>733</v>
      </c>
      <c r="G230" s="299" t="s">
        <v>227</v>
      </c>
      <c r="H230" s="299" t="s">
        <v>473</v>
      </c>
      <c r="I230" s="65" t="s">
        <v>165</v>
      </c>
      <c r="J230" s="59">
        <v>27806.400000000001</v>
      </c>
      <c r="K230" s="60">
        <v>21</v>
      </c>
      <c r="L230" s="60" t="s">
        <v>1162</v>
      </c>
      <c r="M230" s="60" t="s">
        <v>1163</v>
      </c>
      <c r="N230" s="61">
        <v>47758</v>
      </c>
      <c r="O230" s="62">
        <v>1051.7</v>
      </c>
      <c r="P230" s="59">
        <v>39900</v>
      </c>
      <c r="Q230" s="59">
        <f t="shared" si="56"/>
        <v>37.938575639440906</v>
      </c>
      <c r="R230" s="63">
        <v>2007</v>
      </c>
      <c r="S230" s="128">
        <v>0.05</v>
      </c>
      <c r="T230" s="300" t="s">
        <v>11</v>
      </c>
      <c r="U230" s="300" t="s">
        <v>11</v>
      </c>
      <c r="V230" s="295">
        <f>43092/1.16</f>
        <v>37148.275862068971</v>
      </c>
      <c r="W230" s="295">
        <f t="shared" si="60"/>
        <v>517104</v>
      </c>
      <c r="X230" s="295">
        <f>ROUND(+V230*1.15*12*1.16,2)</f>
        <v>594669.6</v>
      </c>
      <c r="Y230" s="296" t="s">
        <v>1566</v>
      </c>
      <c r="Z230" s="167"/>
    </row>
    <row r="231" spans="1:27" s="33" customFormat="1" ht="75" x14ac:dyDescent="0.2">
      <c r="A231" s="41"/>
      <c r="B231" s="262">
        <v>217</v>
      </c>
      <c r="C231" s="262">
        <v>279102</v>
      </c>
      <c r="D231" s="262">
        <v>900110</v>
      </c>
      <c r="E231" s="269" t="s">
        <v>462</v>
      </c>
      <c r="F231" s="263" t="s">
        <v>734</v>
      </c>
      <c r="G231" s="271" t="s">
        <v>227</v>
      </c>
      <c r="H231" s="271" t="s">
        <v>474</v>
      </c>
      <c r="I231" s="65" t="s">
        <v>166</v>
      </c>
      <c r="J231" s="59">
        <v>10000</v>
      </c>
      <c r="K231" s="60">
        <v>25</v>
      </c>
      <c r="L231" s="60" t="s">
        <v>1164</v>
      </c>
      <c r="M231" s="60" t="s">
        <v>1165</v>
      </c>
      <c r="N231" s="61">
        <v>27573</v>
      </c>
      <c r="O231" s="62">
        <v>846.61</v>
      </c>
      <c r="P231" s="59">
        <v>26988.25</v>
      </c>
      <c r="Q231" s="59">
        <f t="shared" si="56"/>
        <v>31.878019394998876</v>
      </c>
      <c r="R231" s="63">
        <v>2018</v>
      </c>
      <c r="S231" s="128" t="s">
        <v>592</v>
      </c>
      <c r="T231" s="272" t="s">
        <v>13</v>
      </c>
      <c r="U231" s="272" t="s">
        <v>13</v>
      </c>
      <c r="V231" s="267">
        <v>26988.25</v>
      </c>
      <c r="W231" s="267">
        <f t="shared" si="60"/>
        <v>375676.44</v>
      </c>
      <c r="X231" s="267">
        <f>ROUND(+V231*1.16*12*1.1,2)</f>
        <v>413244.08</v>
      </c>
      <c r="Y231" s="268" t="s">
        <v>1567</v>
      </c>
      <c r="Z231" s="167"/>
      <c r="AA231" s="3"/>
    </row>
    <row r="232" spans="1:27" s="3" customFormat="1" ht="75" x14ac:dyDescent="0.2">
      <c r="A232" s="40"/>
      <c r="B232" s="290">
        <v>218</v>
      </c>
      <c r="C232" s="290">
        <v>279103</v>
      </c>
      <c r="D232" s="290">
        <v>900110</v>
      </c>
      <c r="E232" s="297" t="s">
        <v>462</v>
      </c>
      <c r="F232" s="291" t="s">
        <v>735</v>
      </c>
      <c r="G232" s="299" t="s">
        <v>227</v>
      </c>
      <c r="H232" s="299" t="s">
        <v>475</v>
      </c>
      <c r="I232" s="65" t="s">
        <v>167</v>
      </c>
      <c r="J232" s="59">
        <v>21200</v>
      </c>
      <c r="K232" s="60">
        <v>24</v>
      </c>
      <c r="L232" s="60" t="s">
        <v>1166</v>
      </c>
      <c r="M232" s="60" t="s">
        <v>1153</v>
      </c>
      <c r="N232" s="61">
        <v>37650</v>
      </c>
      <c r="O232" s="62">
        <v>760</v>
      </c>
      <c r="P232" s="59">
        <v>31840</v>
      </c>
      <c r="Q232" s="59">
        <f t="shared" si="56"/>
        <v>41.89473684210526</v>
      </c>
      <c r="R232" s="63" t="s">
        <v>1330</v>
      </c>
      <c r="S232" s="133" t="s">
        <v>16</v>
      </c>
      <c r="T232" s="300" t="s">
        <v>11</v>
      </c>
      <c r="U232" s="300" t="s">
        <v>11</v>
      </c>
      <c r="V232" s="295">
        <v>31840</v>
      </c>
      <c r="W232" s="295">
        <f t="shared" si="60"/>
        <v>443212.79999999993</v>
      </c>
      <c r="X232" s="295">
        <f>ROUND(+V232*1.15*12*1.16,2)</f>
        <v>509694.71999999997</v>
      </c>
      <c r="Y232" s="296" t="s">
        <v>1566</v>
      </c>
      <c r="Z232" s="167"/>
    </row>
    <row r="233" spans="1:27" s="3" customFormat="1" ht="75" x14ac:dyDescent="0.2">
      <c r="A233" s="40"/>
      <c r="B233" s="262">
        <v>219</v>
      </c>
      <c r="C233" s="283" t="s">
        <v>1326</v>
      </c>
      <c r="D233" s="283" t="s">
        <v>1327</v>
      </c>
      <c r="E233" s="269" t="s">
        <v>462</v>
      </c>
      <c r="F233" s="263" t="s">
        <v>736</v>
      </c>
      <c r="G233" s="271" t="s">
        <v>326</v>
      </c>
      <c r="H233" s="271" t="s">
        <v>476</v>
      </c>
      <c r="I233" s="65" t="s">
        <v>168</v>
      </c>
      <c r="J233" s="59">
        <v>9585.6</v>
      </c>
      <c r="K233" s="60">
        <v>28</v>
      </c>
      <c r="L233" s="60" t="s">
        <v>1389</v>
      </c>
      <c r="M233" s="60" t="s">
        <v>1390</v>
      </c>
      <c r="N233" s="61">
        <v>47859</v>
      </c>
      <c r="O233" s="62">
        <v>577</v>
      </c>
      <c r="P233" s="59">
        <v>17119.59</v>
      </c>
      <c r="Q233" s="59">
        <f t="shared" si="56"/>
        <v>29.67</v>
      </c>
      <c r="R233" s="63">
        <v>2008</v>
      </c>
      <c r="S233" s="128">
        <v>0.03</v>
      </c>
      <c r="T233" s="272" t="s">
        <v>13</v>
      </c>
      <c r="U233" s="272" t="s">
        <v>13</v>
      </c>
      <c r="V233" s="267">
        <f>19859/1.16</f>
        <v>17119.827586206899</v>
      </c>
      <c r="W233" s="267">
        <f t="shared" si="60"/>
        <v>238308</v>
      </c>
      <c r="X233" s="267">
        <f t="shared" ref="X233:X235" si="65">ROUND(+V233*1.16*12*1.1,2)</f>
        <v>262138.8</v>
      </c>
      <c r="Y233" s="268" t="s">
        <v>1567</v>
      </c>
      <c r="Z233" s="167"/>
    </row>
    <row r="234" spans="1:27" s="3" customFormat="1" ht="93.75" x14ac:dyDescent="0.2">
      <c r="A234" s="40"/>
      <c r="B234" s="262">
        <v>220</v>
      </c>
      <c r="C234" s="262">
        <v>275901</v>
      </c>
      <c r="D234" s="262">
        <v>380200</v>
      </c>
      <c r="E234" s="269" t="s">
        <v>462</v>
      </c>
      <c r="F234" s="263" t="s">
        <v>737</v>
      </c>
      <c r="G234" s="271" t="s">
        <v>261</v>
      </c>
      <c r="H234" s="271" t="s">
        <v>467</v>
      </c>
      <c r="I234" s="65" t="s">
        <v>169</v>
      </c>
      <c r="J234" s="59">
        <v>250</v>
      </c>
      <c r="K234" s="60">
        <v>37</v>
      </c>
      <c r="L234" s="60" t="s">
        <v>1167</v>
      </c>
      <c r="M234" s="60" t="s">
        <v>1168</v>
      </c>
      <c r="N234" s="61">
        <v>40616</v>
      </c>
      <c r="O234" s="62">
        <v>1130.7</v>
      </c>
      <c r="P234" s="59">
        <v>37110.9</v>
      </c>
      <c r="Q234" s="59">
        <f t="shared" si="56"/>
        <v>32.821172724860709</v>
      </c>
      <c r="R234" s="63">
        <v>2001</v>
      </c>
      <c r="S234" s="128">
        <v>0.03</v>
      </c>
      <c r="T234" s="272" t="s">
        <v>11</v>
      </c>
      <c r="U234" s="272" t="s">
        <v>13</v>
      </c>
      <c r="V234" s="267">
        <v>37110.9</v>
      </c>
      <c r="W234" s="267">
        <f t="shared" si="60"/>
        <v>516583.728</v>
      </c>
      <c r="X234" s="267">
        <f t="shared" si="65"/>
        <v>568242.1</v>
      </c>
      <c r="Y234" s="268" t="s">
        <v>1567</v>
      </c>
      <c r="Z234" s="167"/>
    </row>
    <row r="235" spans="1:27" ht="75" x14ac:dyDescent="0.2">
      <c r="B235" s="262">
        <v>221</v>
      </c>
      <c r="C235" s="262">
        <v>275903</v>
      </c>
      <c r="D235" s="262">
        <v>380200</v>
      </c>
      <c r="E235" s="269" t="s">
        <v>462</v>
      </c>
      <c r="F235" s="263" t="s">
        <v>738</v>
      </c>
      <c r="G235" s="271" t="s">
        <v>261</v>
      </c>
      <c r="H235" s="271" t="s">
        <v>477</v>
      </c>
      <c r="I235" s="65" t="s">
        <v>170</v>
      </c>
      <c r="J235" s="59">
        <v>2000</v>
      </c>
      <c r="K235" s="60">
        <v>34</v>
      </c>
      <c r="L235" s="60" t="s">
        <v>1169</v>
      </c>
      <c r="M235" s="60" t="s">
        <v>1170</v>
      </c>
      <c r="N235" s="61">
        <v>52263</v>
      </c>
      <c r="O235" s="62">
        <v>1366</v>
      </c>
      <c r="P235" s="59">
        <v>21795</v>
      </c>
      <c r="Q235" s="59">
        <f t="shared" si="56"/>
        <v>15.955344070278185</v>
      </c>
      <c r="R235" s="63">
        <v>2008</v>
      </c>
      <c r="S235" s="128">
        <v>0.02</v>
      </c>
      <c r="T235" s="272" t="s">
        <v>11</v>
      </c>
      <c r="U235" s="272" t="s">
        <v>13</v>
      </c>
      <c r="V235" s="267">
        <v>21795</v>
      </c>
      <c r="W235" s="267">
        <f t="shared" si="60"/>
        <v>303386.39999999997</v>
      </c>
      <c r="X235" s="267">
        <f t="shared" si="65"/>
        <v>333725.03999999998</v>
      </c>
      <c r="Y235" s="268" t="s">
        <v>1567</v>
      </c>
      <c r="Z235" s="167"/>
    </row>
    <row r="236" spans="1:27" ht="75" x14ac:dyDescent="0.2">
      <c r="B236" s="290">
        <v>222</v>
      </c>
      <c r="C236" s="290">
        <v>278010</v>
      </c>
      <c r="D236" s="290">
        <v>920201</v>
      </c>
      <c r="E236" s="297" t="s">
        <v>462</v>
      </c>
      <c r="F236" s="291" t="s">
        <v>739</v>
      </c>
      <c r="G236" s="299" t="s">
        <v>254</v>
      </c>
      <c r="H236" s="299" t="s">
        <v>478</v>
      </c>
      <c r="I236" s="95" t="s">
        <v>171</v>
      </c>
      <c r="J236" s="59">
        <v>2920</v>
      </c>
      <c r="K236" s="60">
        <v>31</v>
      </c>
      <c r="L236" s="60" t="s">
        <v>1171</v>
      </c>
      <c r="M236" s="60" t="s">
        <v>1172</v>
      </c>
      <c r="N236" s="61">
        <v>12931</v>
      </c>
      <c r="O236" s="62">
        <v>730</v>
      </c>
      <c r="P236" s="59">
        <v>6328</v>
      </c>
      <c r="Q236" s="59">
        <f t="shared" si="56"/>
        <v>8.668493150684931</v>
      </c>
      <c r="R236" s="63" t="s">
        <v>1330</v>
      </c>
      <c r="S236" s="136" t="s">
        <v>16</v>
      </c>
      <c r="T236" s="300" t="s">
        <v>11</v>
      </c>
      <c r="U236" s="300" t="s">
        <v>11</v>
      </c>
      <c r="V236" s="295">
        <v>6328</v>
      </c>
      <c r="W236" s="295">
        <f t="shared" si="60"/>
        <v>88085.759999999995</v>
      </c>
      <c r="X236" s="295">
        <f t="shared" ref="X236:X237" si="66">ROUND(+V236*1.15*12*1.16,2)</f>
        <v>101298.62</v>
      </c>
      <c r="Y236" s="296" t="s">
        <v>1566</v>
      </c>
      <c r="Z236" s="167"/>
    </row>
    <row r="237" spans="1:27" s="34" customFormat="1" ht="75" x14ac:dyDescent="0.2">
      <c r="A237" s="41"/>
      <c r="B237" s="290">
        <v>223</v>
      </c>
      <c r="C237" s="290">
        <v>278004</v>
      </c>
      <c r="D237" s="290">
        <v>920201</v>
      </c>
      <c r="E237" s="297" t="s">
        <v>462</v>
      </c>
      <c r="F237" s="312" t="s">
        <v>740</v>
      </c>
      <c r="G237" s="299" t="s">
        <v>254</v>
      </c>
      <c r="H237" s="293" t="s">
        <v>479</v>
      </c>
      <c r="I237" s="137" t="s">
        <v>213</v>
      </c>
      <c r="J237" s="138">
        <v>10884</v>
      </c>
      <c r="K237" s="139">
        <v>5</v>
      </c>
      <c r="L237" s="139">
        <v>4602</v>
      </c>
      <c r="M237" s="139" t="s">
        <v>1173</v>
      </c>
      <c r="N237" s="140">
        <v>10884</v>
      </c>
      <c r="O237" s="71">
        <v>400</v>
      </c>
      <c r="P237" s="138">
        <v>10884</v>
      </c>
      <c r="Q237" s="138">
        <f t="shared" si="56"/>
        <v>27.21</v>
      </c>
      <c r="R237" s="63" t="s">
        <v>1334</v>
      </c>
      <c r="S237" s="74" t="s">
        <v>16</v>
      </c>
      <c r="T237" s="300" t="s">
        <v>11</v>
      </c>
      <c r="U237" s="300" t="s">
        <v>11</v>
      </c>
      <c r="V237" s="295">
        <v>10884</v>
      </c>
      <c r="W237" s="295">
        <f t="shared" si="60"/>
        <v>151505.27999999997</v>
      </c>
      <c r="X237" s="295">
        <f t="shared" si="66"/>
        <v>174231.07</v>
      </c>
      <c r="Y237" s="296" t="s">
        <v>1566</v>
      </c>
      <c r="Z237" s="167"/>
      <c r="AA237" s="19"/>
    </row>
    <row r="238" spans="1:27" s="34" customFormat="1" ht="93.75" x14ac:dyDescent="0.2">
      <c r="A238" s="41"/>
      <c r="B238" s="262">
        <v>224</v>
      </c>
      <c r="C238" s="262">
        <v>278002</v>
      </c>
      <c r="D238" s="262">
        <v>150900</v>
      </c>
      <c r="E238" s="269" t="s">
        <v>462</v>
      </c>
      <c r="F238" s="263" t="s">
        <v>741</v>
      </c>
      <c r="G238" s="271" t="s">
        <v>480</v>
      </c>
      <c r="H238" s="271" t="s">
        <v>482</v>
      </c>
      <c r="I238" s="65" t="s">
        <v>172</v>
      </c>
      <c r="J238" s="59">
        <v>29500</v>
      </c>
      <c r="K238" s="60">
        <v>24</v>
      </c>
      <c r="L238" s="60" t="s">
        <v>1174</v>
      </c>
      <c r="M238" s="60" t="s">
        <v>1175</v>
      </c>
      <c r="N238" s="61">
        <v>46833</v>
      </c>
      <c r="O238" s="62">
        <v>1600</v>
      </c>
      <c r="P238" s="59">
        <v>44708.09</v>
      </c>
      <c r="Q238" s="59">
        <f t="shared" si="56"/>
        <v>27.942556249999999</v>
      </c>
      <c r="R238" s="63">
        <v>2018</v>
      </c>
      <c r="S238" s="128" t="s">
        <v>592</v>
      </c>
      <c r="T238" s="272" t="s">
        <v>13</v>
      </c>
      <c r="U238" s="272" t="s">
        <v>13</v>
      </c>
      <c r="V238" s="267">
        <v>44708.09</v>
      </c>
      <c r="W238" s="267">
        <f t="shared" si="60"/>
        <v>622336.6128</v>
      </c>
      <c r="X238" s="267">
        <f t="shared" ref="X238:X239" si="67">ROUND(+V238*1.16*12*1.1,2)</f>
        <v>684570.27</v>
      </c>
      <c r="Y238" s="268" t="s">
        <v>1567</v>
      </c>
      <c r="Z238" s="167"/>
      <c r="AA238" s="19"/>
    </row>
    <row r="239" spans="1:27" ht="75" x14ac:dyDescent="0.2">
      <c r="B239" s="262">
        <v>225</v>
      </c>
      <c r="C239" s="262">
        <v>278009</v>
      </c>
      <c r="D239" s="262">
        <v>920201</v>
      </c>
      <c r="E239" s="269" t="s">
        <v>462</v>
      </c>
      <c r="F239" s="263" t="s">
        <v>742</v>
      </c>
      <c r="G239" s="271" t="s">
        <v>254</v>
      </c>
      <c r="H239" s="271" t="s">
        <v>483</v>
      </c>
      <c r="I239" s="95" t="s">
        <v>145</v>
      </c>
      <c r="J239" s="59">
        <v>33043.47</v>
      </c>
      <c r="K239" s="60">
        <v>12</v>
      </c>
      <c r="L239" s="60" t="s">
        <v>1176</v>
      </c>
      <c r="M239" s="60" t="s">
        <v>1177</v>
      </c>
      <c r="N239" s="61">
        <v>53767</v>
      </c>
      <c r="O239" s="62">
        <v>2049.81</v>
      </c>
      <c r="P239" s="59">
        <v>33043.47</v>
      </c>
      <c r="Q239" s="59">
        <f t="shared" si="56"/>
        <v>16.120259926529776</v>
      </c>
      <c r="R239" s="63" t="s">
        <v>1334</v>
      </c>
      <c r="S239" s="133" t="s">
        <v>16</v>
      </c>
      <c r="T239" s="266" t="s">
        <v>1554</v>
      </c>
      <c r="U239" s="272" t="s">
        <v>13</v>
      </c>
      <c r="V239" s="267">
        <v>33043.47</v>
      </c>
      <c r="W239" s="267">
        <f t="shared" si="60"/>
        <v>459965.10239999997</v>
      </c>
      <c r="X239" s="267">
        <f t="shared" si="67"/>
        <v>505961.61</v>
      </c>
      <c r="Y239" s="268" t="s">
        <v>1567</v>
      </c>
      <c r="Z239" s="167"/>
    </row>
    <row r="240" spans="1:27" ht="75" x14ac:dyDescent="0.2">
      <c r="A240" s="41"/>
      <c r="B240" s="290">
        <v>226</v>
      </c>
      <c r="C240" s="290">
        <v>279301</v>
      </c>
      <c r="D240" s="290">
        <v>460031</v>
      </c>
      <c r="E240" s="297" t="s">
        <v>462</v>
      </c>
      <c r="F240" s="291" t="s">
        <v>743</v>
      </c>
      <c r="G240" s="299" t="s">
        <v>481</v>
      </c>
      <c r="H240" s="299" t="s">
        <v>484</v>
      </c>
      <c r="I240" s="65" t="s">
        <v>173</v>
      </c>
      <c r="J240" s="59">
        <v>19500</v>
      </c>
      <c r="K240" s="60">
        <v>11</v>
      </c>
      <c r="L240" s="60" t="s">
        <v>1178</v>
      </c>
      <c r="M240" s="60" t="s">
        <v>1179</v>
      </c>
      <c r="N240" s="61">
        <v>19429</v>
      </c>
      <c r="O240" s="62">
        <v>258.16000000000003</v>
      </c>
      <c r="P240" s="59">
        <v>19429</v>
      </c>
      <c r="Q240" s="59">
        <f t="shared" si="56"/>
        <v>75.259528974279505</v>
      </c>
      <c r="R240" s="63" t="s">
        <v>1334</v>
      </c>
      <c r="S240" s="133" t="s">
        <v>16</v>
      </c>
      <c r="T240" s="300" t="s">
        <v>11</v>
      </c>
      <c r="U240" s="300" t="s">
        <v>11</v>
      </c>
      <c r="V240" s="295">
        <v>19429</v>
      </c>
      <c r="W240" s="295">
        <f t="shared" si="60"/>
        <v>270451.68</v>
      </c>
      <c r="X240" s="295">
        <f>ROUND(+V240*1.15*12*1.16,2)</f>
        <v>311019.43</v>
      </c>
      <c r="Y240" s="296" t="s">
        <v>1566</v>
      </c>
      <c r="Z240" s="167">
        <f>SUM(X222:X240)</f>
        <v>11532949.979999997</v>
      </c>
    </row>
    <row r="241" spans="1:27" ht="112.5" x14ac:dyDescent="0.2">
      <c r="A241" s="41"/>
      <c r="B241" s="218">
        <v>227</v>
      </c>
      <c r="C241" s="225" t="s">
        <v>1553</v>
      </c>
      <c r="D241" s="225" t="s">
        <v>1282</v>
      </c>
      <c r="E241" s="227" t="s">
        <v>1499</v>
      </c>
      <c r="F241" s="219" t="s">
        <v>1535</v>
      </c>
      <c r="G241" s="228" t="s">
        <v>1464</v>
      </c>
      <c r="H241" s="228" t="s">
        <v>1500</v>
      </c>
      <c r="I241" s="65" t="s">
        <v>1501</v>
      </c>
      <c r="J241" s="59">
        <v>15000</v>
      </c>
      <c r="K241" s="60" t="s">
        <v>16</v>
      </c>
      <c r="L241" s="60">
        <v>9085</v>
      </c>
      <c r="M241" s="60" t="s">
        <v>1502</v>
      </c>
      <c r="N241" s="61"/>
      <c r="O241" s="62">
        <v>264.10000000000002</v>
      </c>
      <c r="P241" s="59">
        <v>15000</v>
      </c>
      <c r="Q241" s="59">
        <f t="shared" si="56"/>
        <v>56.796667928814841</v>
      </c>
      <c r="R241" s="63" t="s">
        <v>16</v>
      </c>
      <c r="S241" s="133" t="s">
        <v>16</v>
      </c>
      <c r="T241" s="222" t="s">
        <v>1554</v>
      </c>
      <c r="U241" s="222" t="s">
        <v>1554</v>
      </c>
      <c r="V241" s="223">
        <v>15000</v>
      </c>
      <c r="W241" s="223">
        <f>+V241*12</f>
        <v>180000</v>
      </c>
      <c r="X241" s="223">
        <f>ROUND(+W241,2)</f>
        <v>180000</v>
      </c>
      <c r="Y241" s="224"/>
      <c r="Z241" s="167">
        <f>+X241</f>
        <v>180000</v>
      </c>
    </row>
    <row r="242" spans="1:27" ht="56.25" x14ac:dyDescent="0.2">
      <c r="B242" s="262">
        <v>228</v>
      </c>
      <c r="C242" s="262">
        <v>292417</v>
      </c>
      <c r="D242" s="262">
        <v>200200</v>
      </c>
      <c r="E242" s="269" t="s">
        <v>486</v>
      </c>
      <c r="F242" s="263" t="s">
        <v>744</v>
      </c>
      <c r="G242" s="271" t="s">
        <v>487</v>
      </c>
      <c r="H242" s="285" t="s">
        <v>490</v>
      </c>
      <c r="I242" s="65" t="s">
        <v>174</v>
      </c>
      <c r="J242" s="59">
        <v>3000</v>
      </c>
      <c r="K242" s="60">
        <v>23</v>
      </c>
      <c r="L242" s="60" t="s">
        <v>1188</v>
      </c>
      <c r="M242" s="60" t="s">
        <v>1189</v>
      </c>
      <c r="N242" s="61">
        <v>5408</v>
      </c>
      <c r="O242" s="62">
        <v>127.2</v>
      </c>
      <c r="P242" s="59">
        <v>4740.75</v>
      </c>
      <c r="Q242" s="59">
        <f t="shared" si="56"/>
        <v>37.27004716981132</v>
      </c>
      <c r="R242" s="63">
        <v>2009</v>
      </c>
      <c r="S242" s="128">
        <v>0.05</v>
      </c>
      <c r="T242" s="272" t="s">
        <v>13</v>
      </c>
      <c r="U242" s="272" t="s">
        <v>13</v>
      </c>
      <c r="V242" s="267">
        <v>4740.75</v>
      </c>
      <c r="W242" s="267">
        <f t="shared" ref="W242:W279" si="68">+V242*1.16*12</f>
        <v>65991.239999999991</v>
      </c>
      <c r="X242" s="267">
        <f t="shared" ref="X242:X243" si="69">ROUND(+V242*1.16*12*1.1,2)</f>
        <v>72590.36</v>
      </c>
      <c r="Y242" s="268" t="s">
        <v>1567</v>
      </c>
      <c r="Z242" s="167"/>
    </row>
    <row r="243" spans="1:27" ht="56.25" x14ac:dyDescent="0.2">
      <c r="B243" s="262">
        <v>229</v>
      </c>
      <c r="C243" s="262">
        <v>292430</v>
      </c>
      <c r="D243" s="262">
        <v>200200</v>
      </c>
      <c r="E243" s="269" t="s">
        <v>486</v>
      </c>
      <c r="F243" s="263" t="s">
        <v>745</v>
      </c>
      <c r="G243" s="271" t="s">
        <v>488</v>
      </c>
      <c r="H243" s="271" t="s">
        <v>491</v>
      </c>
      <c r="I243" s="65" t="s">
        <v>175</v>
      </c>
      <c r="J243" s="59">
        <v>134.5</v>
      </c>
      <c r="K243" s="60">
        <v>30</v>
      </c>
      <c r="L243" s="60" t="s">
        <v>1190</v>
      </c>
      <c r="M243" s="60" t="s">
        <v>1191</v>
      </c>
      <c r="N243" s="61">
        <v>4336</v>
      </c>
      <c r="O243" s="62">
        <v>106</v>
      </c>
      <c r="P243" s="59">
        <v>2170.35</v>
      </c>
      <c r="Q243" s="59">
        <f t="shared" si="56"/>
        <v>20.474999999999998</v>
      </c>
      <c r="R243" s="63">
        <v>2009</v>
      </c>
      <c r="S243" s="128">
        <v>0.05</v>
      </c>
      <c r="T243" s="272" t="s">
        <v>13</v>
      </c>
      <c r="U243" s="272" t="s">
        <v>13</v>
      </c>
      <c r="V243" s="267">
        <v>2170.35</v>
      </c>
      <c r="W243" s="267">
        <f t="shared" si="68"/>
        <v>30211.271999999997</v>
      </c>
      <c r="X243" s="267">
        <f t="shared" si="69"/>
        <v>33232.400000000001</v>
      </c>
      <c r="Y243" s="268" t="s">
        <v>1567</v>
      </c>
      <c r="Z243" s="167"/>
    </row>
    <row r="244" spans="1:27" ht="75" x14ac:dyDescent="0.2">
      <c r="B244" s="218">
        <v>230</v>
      </c>
      <c r="C244" s="218">
        <v>292434</v>
      </c>
      <c r="D244" s="218">
        <v>200200</v>
      </c>
      <c r="E244" s="227" t="s">
        <v>486</v>
      </c>
      <c r="F244" s="219" t="s">
        <v>746</v>
      </c>
      <c r="G244" s="228" t="s">
        <v>321</v>
      </c>
      <c r="H244" s="228" t="s">
        <v>492</v>
      </c>
      <c r="I244" s="65" t="s">
        <v>176</v>
      </c>
      <c r="J244" s="59">
        <v>3460</v>
      </c>
      <c r="K244" s="60">
        <v>15</v>
      </c>
      <c r="L244" s="60" t="s">
        <v>1192</v>
      </c>
      <c r="M244" s="60" t="s">
        <v>1191</v>
      </c>
      <c r="N244" s="61">
        <v>7533</v>
      </c>
      <c r="O244" s="62">
        <v>236</v>
      </c>
      <c r="P244" s="59">
        <v>3633</v>
      </c>
      <c r="Q244" s="59">
        <f t="shared" si="56"/>
        <v>15.39406779661017</v>
      </c>
      <c r="R244" s="63">
        <v>2009</v>
      </c>
      <c r="S244" s="128">
        <v>0.05</v>
      </c>
      <c r="T244" s="232" t="s">
        <v>13</v>
      </c>
      <c r="U244" s="222" t="s">
        <v>1554</v>
      </c>
      <c r="V244" s="223">
        <v>3633</v>
      </c>
      <c r="W244" s="223">
        <f t="shared" si="68"/>
        <v>50571.360000000001</v>
      </c>
      <c r="X244" s="223">
        <f>ROUND(+W244,2)</f>
        <v>50571.360000000001</v>
      </c>
      <c r="Y244" s="224"/>
      <c r="Z244" s="167"/>
    </row>
    <row r="245" spans="1:27" ht="56.25" x14ac:dyDescent="0.2">
      <c r="B245" s="262">
        <v>231</v>
      </c>
      <c r="C245" s="262">
        <v>292410</v>
      </c>
      <c r="D245" s="262">
        <v>200200</v>
      </c>
      <c r="E245" s="269" t="s">
        <v>486</v>
      </c>
      <c r="F245" s="263" t="s">
        <v>747</v>
      </c>
      <c r="G245" s="271" t="s">
        <v>489</v>
      </c>
      <c r="H245" s="278" t="s">
        <v>493</v>
      </c>
      <c r="I245" s="65" t="s">
        <v>177</v>
      </c>
      <c r="J245" s="59">
        <v>3180</v>
      </c>
      <c r="K245" s="60">
        <v>27</v>
      </c>
      <c r="L245" s="60">
        <v>6018</v>
      </c>
      <c r="M245" s="60" t="s">
        <v>1193</v>
      </c>
      <c r="N245" s="61">
        <v>27829</v>
      </c>
      <c r="O245" s="62">
        <v>374</v>
      </c>
      <c r="P245" s="59">
        <v>7218.75</v>
      </c>
      <c r="Q245" s="59">
        <f t="shared" si="56"/>
        <v>19.301470588235293</v>
      </c>
      <c r="R245" s="63">
        <v>2013</v>
      </c>
      <c r="S245" s="75">
        <v>4.3999999999999997E-2</v>
      </c>
      <c r="T245" s="272" t="s">
        <v>13</v>
      </c>
      <c r="U245" s="272" t="s">
        <v>13</v>
      </c>
      <c r="V245" s="267">
        <v>7218.75</v>
      </c>
      <c r="W245" s="267">
        <f t="shared" si="68"/>
        <v>100485</v>
      </c>
      <c r="X245" s="267">
        <f t="shared" ref="X245:X249" si="70">ROUND(+V245*1.16*12*1.1,2)</f>
        <v>110533.5</v>
      </c>
      <c r="Y245" s="268" t="s">
        <v>1567</v>
      </c>
      <c r="Z245" s="167"/>
    </row>
    <row r="246" spans="1:27" ht="56.25" x14ac:dyDescent="0.2">
      <c r="B246" s="262">
        <v>232</v>
      </c>
      <c r="C246" s="262">
        <v>292440</v>
      </c>
      <c r="D246" s="262">
        <v>200200</v>
      </c>
      <c r="E246" s="269" t="s">
        <v>486</v>
      </c>
      <c r="F246" s="263" t="s">
        <v>748</v>
      </c>
      <c r="G246" s="271" t="s">
        <v>397</v>
      </c>
      <c r="H246" s="271" t="s">
        <v>494</v>
      </c>
      <c r="I246" s="65" t="s">
        <v>178</v>
      </c>
      <c r="J246" s="59">
        <v>2000</v>
      </c>
      <c r="K246" s="60">
        <v>28</v>
      </c>
      <c r="L246" s="60" t="s">
        <v>1194</v>
      </c>
      <c r="M246" s="60" t="s">
        <v>904</v>
      </c>
      <c r="N246" s="61">
        <v>7384</v>
      </c>
      <c r="O246" s="62">
        <v>165.26</v>
      </c>
      <c r="P246" s="59">
        <v>5076.04</v>
      </c>
      <c r="Q246" s="59">
        <f t="shared" si="56"/>
        <v>30.715478639719233</v>
      </c>
      <c r="R246" s="63">
        <v>2013</v>
      </c>
      <c r="S246" s="132">
        <v>3.4000000000000002E-2</v>
      </c>
      <c r="T246" s="272" t="s">
        <v>13</v>
      </c>
      <c r="U246" s="272" t="s">
        <v>13</v>
      </c>
      <c r="V246" s="267">
        <v>5076.04</v>
      </c>
      <c r="W246" s="267">
        <f t="shared" si="68"/>
        <v>70658.476799999989</v>
      </c>
      <c r="X246" s="267">
        <f t="shared" si="70"/>
        <v>77724.320000000007</v>
      </c>
      <c r="Y246" s="268" t="s">
        <v>1567</v>
      </c>
      <c r="Z246" s="167"/>
    </row>
    <row r="247" spans="1:27" ht="75" x14ac:dyDescent="0.2">
      <c r="B247" s="262">
        <v>233</v>
      </c>
      <c r="C247" s="262">
        <v>292403</v>
      </c>
      <c r="D247" s="262">
        <v>200222</v>
      </c>
      <c r="E247" s="269" t="s">
        <v>486</v>
      </c>
      <c r="F247" s="263" t="s">
        <v>749</v>
      </c>
      <c r="G247" s="271" t="s">
        <v>225</v>
      </c>
      <c r="H247" s="271" t="s">
        <v>495</v>
      </c>
      <c r="I247" s="65" t="s">
        <v>179</v>
      </c>
      <c r="J247" s="59">
        <v>25000</v>
      </c>
      <c r="K247" s="60">
        <v>22</v>
      </c>
      <c r="L247" s="60" t="s">
        <v>1195</v>
      </c>
      <c r="M247" s="60" t="s">
        <v>1196</v>
      </c>
      <c r="N247" s="61">
        <v>39829</v>
      </c>
      <c r="O247" s="62">
        <v>378.24</v>
      </c>
      <c r="P247" s="59">
        <v>38654</v>
      </c>
      <c r="Q247" s="59">
        <f t="shared" si="56"/>
        <v>102.19437394247039</v>
      </c>
      <c r="R247" s="63">
        <v>2009</v>
      </c>
      <c r="S247" s="132">
        <v>3.3000000000000002E-2</v>
      </c>
      <c r="T247" s="272" t="s">
        <v>13</v>
      </c>
      <c r="U247" s="272" t="s">
        <v>13</v>
      </c>
      <c r="V247" s="267">
        <f>44839/1.16</f>
        <v>38654.310344827587</v>
      </c>
      <c r="W247" s="267">
        <f t="shared" si="68"/>
        <v>538068</v>
      </c>
      <c r="X247" s="267">
        <f t="shared" si="70"/>
        <v>591874.80000000005</v>
      </c>
      <c r="Y247" s="268" t="s">
        <v>1567</v>
      </c>
      <c r="Z247" s="167"/>
    </row>
    <row r="248" spans="1:27" ht="75" x14ac:dyDescent="0.2">
      <c r="B248" s="262">
        <v>234</v>
      </c>
      <c r="C248" s="262">
        <v>299101</v>
      </c>
      <c r="D248" s="262">
        <v>900110</v>
      </c>
      <c r="E248" s="269" t="s">
        <v>486</v>
      </c>
      <c r="F248" s="263" t="s">
        <v>1420</v>
      </c>
      <c r="G248" s="271" t="s">
        <v>227</v>
      </c>
      <c r="H248" s="278" t="s">
        <v>496</v>
      </c>
      <c r="I248" s="65" t="s">
        <v>12</v>
      </c>
      <c r="J248" s="59">
        <v>18000</v>
      </c>
      <c r="K248" s="60">
        <v>31</v>
      </c>
      <c r="L248" s="60" t="s">
        <v>1197</v>
      </c>
      <c r="M248" s="60" t="s">
        <v>1196</v>
      </c>
      <c r="N248" s="61">
        <v>81876</v>
      </c>
      <c r="O248" s="62">
        <v>2179.3000000000002</v>
      </c>
      <c r="P248" s="59">
        <v>43836</v>
      </c>
      <c r="Q248" s="59">
        <f t="shared" si="56"/>
        <v>20.114715734410129</v>
      </c>
      <c r="R248" s="63">
        <v>2013</v>
      </c>
      <c r="S248" s="75">
        <v>4.3999999999999997E-2</v>
      </c>
      <c r="T248" s="272" t="s">
        <v>13</v>
      </c>
      <c r="U248" s="272" t="s">
        <v>13</v>
      </c>
      <c r="V248" s="267">
        <v>43836</v>
      </c>
      <c r="W248" s="267">
        <f t="shared" si="68"/>
        <v>610197.11999999988</v>
      </c>
      <c r="X248" s="267">
        <f t="shared" si="70"/>
        <v>671216.83</v>
      </c>
      <c r="Y248" s="268" t="s">
        <v>1567</v>
      </c>
      <c r="Z248" s="167"/>
    </row>
    <row r="249" spans="1:27" ht="93.75" x14ac:dyDescent="0.2">
      <c r="B249" s="262">
        <v>235</v>
      </c>
      <c r="C249" s="262">
        <v>299104</v>
      </c>
      <c r="D249" s="262">
        <v>900110</v>
      </c>
      <c r="E249" s="269" t="s">
        <v>486</v>
      </c>
      <c r="F249" s="263" t="s">
        <v>750</v>
      </c>
      <c r="G249" s="271" t="s">
        <v>227</v>
      </c>
      <c r="H249" s="271" t="s">
        <v>497</v>
      </c>
      <c r="I249" s="65" t="s">
        <v>180</v>
      </c>
      <c r="J249" s="59">
        <v>43160</v>
      </c>
      <c r="K249" s="60">
        <v>29</v>
      </c>
      <c r="L249" s="60" t="s">
        <v>1198</v>
      </c>
      <c r="M249" s="60" t="s">
        <v>1196</v>
      </c>
      <c r="N249" s="61">
        <v>108028</v>
      </c>
      <c r="O249" s="62">
        <v>1374</v>
      </c>
      <c r="P249" s="59">
        <v>88439.4</v>
      </c>
      <c r="Q249" s="59">
        <f t="shared" si="56"/>
        <v>64.366375545851525</v>
      </c>
      <c r="R249" s="63">
        <v>2009</v>
      </c>
      <c r="S249" s="128">
        <v>0.05</v>
      </c>
      <c r="T249" s="272" t="s">
        <v>13</v>
      </c>
      <c r="U249" s="272" t="s">
        <v>13</v>
      </c>
      <c r="V249" s="267">
        <v>88439</v>
      </c>
      <c r="W249" s="267">
        <f t="shared" si="68"/>
        <v>1231070.8799999999</v>
      </c>
      <c r="X249" s="267">
        <f t="shared" si="70"/>
        <v>1354177.97</v>
      </c>
      <c r="Y249" s="268" t="s">
        <v>1567</v>
      </c>
      <c r="Z249" s="167"/>
    </row>
    <row r="250" spans="1:27" s="3" customFormat="1" ht="75" x14ac:dyDescent="0.2">
      <c r="A250" s="40"/>
      <c r="B250" s="290">
        <v>236</v>
      </c>
      <c r="C250" s="290">
        <v>295903</v>
      </c>
      <c r="D250" s="290">
        <v>380200</v>
      </c>
      <c r="E250" s="297" t="s">
        <v>486</v>
      </c>
      <c r="F250" s="291" t="s">
        <v>751</v>
      </c>
      <c r="G250" s="299" t="s">
        <v>261</v>
      </c>
      <c r="H250" s="299" t="s">
        <v>498</v>
      </c>
      <c r="I250" s="65" t="s">
        <v>181</v>
      </c>
      <c r="J250" s="59">
        <v>50000</v>
      </c>
      <c r="K250" s="60">
        <v>11</v>
      </c>
      <c r="L250" s="60">
        <v>694</v>
      </c>
      <c r="M250" s="60" t="s">
        <v>1199</v>
      </c>
      <c r="N250" s="61">
        <v>116509</v>
      </c>
      <c r="O250" s="62">
        <v>1082.69</v>
      </c>
      <c r="P250" s="59">
        <v>52200</v>
      </c>
      <c r="Q250" s="59">
        <f t="shared" si="56"/>
        <v>48.213246635694425</v>
      </c>
      <c r="R250" s="63">
        <v>2013</v>
      </c>
      <c r="S250" s="75">
        <v>4.3999999999999997E-2</v>
      </c>
      <c r="T250" s="300" t="s">
        <v>11</v>
      </c>
      <c r="U250" s="300" t="s">
        <v>11</v>
      </c>
      <c r="V250" s="295">
        <v>52200</v>
      </c>
      <c r="W250" s="295">
        <f t="shared" si="68"/>
        <v>726623.99999999988</v>
      </c>
      <c r="X250" s="295">
        <f>ROUND(+V250*1.15*12*1.16,2)</f>
        <v>835617.6</v>
      </c>
      <c r="Y250" s="296" t="s">
        <v>1566</v>
      </c>
      <c r="Z250" s="167"/>
    </row>
    <row r="251" spans="1:27" s="3" customFormat="1" ht="56.25" x14ac:dyDescent="0.2">
      <c r="A251" s="40"/>
      <c r="B251" s="262">
        <v>237</v>
      </c>
      <c r="C251" s="262">
        <v>298005</v>
      </c>
      <c r="D251" s="262">
        <v>920201</v>
      </c>
      <c r="E251" s="269" t="s">
        <v>486</v>
      </c>
      <c r="F251" s="263" t="s">
        <v>752</v>
      </c>
      <c r="G251" s="271" t="s">
        <v>254</v>
      </c>
      <c r="H251" s="271" t="s">
        <v>499</v>
      </c>
      <c r="I251" s="65" t="s">
        <v>182</v>
      </c>
      <c r="J251" s="59">
        <v>7000</v>
      </c>
      <c r="K251" s="60">
        <v>22</v>
      </c>
      <c r="L251" s="60" t="s">
        <v>1200</v>
      </c>
      <c r="M251" s="60" t="s">
        <v>1196</v>
      </c>
      <c r="N251" s="61">
        <v>23233</v>
      </c>
      <c r="O251" s="62">
        <v>830.65</v>
      </c>
      <c r="P251" s="59">
        <v>16385</v>
      </c>
      <c r="Q251" s="59">
        <f t="shared" si="56"/>
        <v>19.725516162041774</v>
      </c>
      <c r="R251" s="63">
        <v>2013</v>
      </c>
      <c r="S251" s="75">
        <v>4.2999999999999997E-2</v>
      </c>
      <c r="T251" s="272" t="s">
        <v>13</v>
      </c>
      <c r="U251" s="272" t="s">
        <v>13</v>
      </c>
      <c r="V251" s="267">
        <v>16385</v>
      </c>
      <c r="W251" s="267">
        <f t="shared" si="68"/>
        <v>228079.19999999998</v>
      </c>
      <c r="X251" s="267">
        <f>ROUND(+V251*1.16*12*1.1,2)</f>
        <v>250887.12</v>
      </c>
      <c r="Y251" s="268" t="s">
        <v>1567</v>
      </c>
      <c r="Z251" s="167">
        <f>SUM(X242:X251)</f>
        <v>4048426.2600000002</v>
      </c>
    </row>
    <row r="252" spans="1:27" s="3" customFormat="1" ht="75" x14ac:dyDescent="0.2">
      <c r="A252" s="40"/>
      <c r="B252" s="218">
        <v>238</v>
      </c>
      <c r="C252" s="218">
        <v>309101</v>
      </c>
      <c r="D252" s="218">
        <v>900110</v>
      </c>
      <c r="E252" s="227" t="s">
        <v>500</v>
      </c>
      <c r="F252" s="219" t="s">
        <v>753</v>
      </c>
      <c r="G252" s="228" t="s">
        <v>227</v>
      </c>
      <c r="H252" s="228" t="s">
        <v>501</v>
      </c>
      <c r="I252" s="65" t="s">
        <v>218</v>
      </c>
      <c r="J252" s="59">
        <v>48234.38</v>
      </c>
      <c r="K252" s="60">
        <v>6</v>
      </c>
      <c r="L252" s="141">
        <v>8760</v>
      </c>
      <c r="M252" s="142">
        <v>44067</v>
      </c>
      <c r="N252" s="131">
        <v>130930</v>
      </c>
      <c r="O252" s="62">
        <v>1385.11</v>
      </c>
      <c r="P252" s="59">
        <v>97000</v>
      </c>
      <c r="Q252" s="59">
        <f t="shared" si="56"/>
        <v>70.03053909075814</v>
      </c>
      <c r="R252" s="63">
        <v>2020</v>
      </c>
      <c r="S252" s="128">
        <v>1.01</v>
      </c>
      <c r="T252" s="222" t="s">
        <v>1554</v>
      </c>
      <c r="U252" s="222" t="s">
        <v>1554</v>
      </c>
      <c r="V252" s="223">
        <v>97000</v>
      </c>
      <c r="W252" s="223">
        <f t="shared" si="68"/>
        <v>1350239.9999999998</v>
      </c>
      <c r="X252" s="223">
        <f t="shared" ref="X252:X258" si="71">ROUND(+W252,2)</f>
        <v>1350240</v>
      </c>
      <c r="Y252" s="224"/>
      <c r="Z252" s="167"/>
    </row>
    <row r="253" spans="1:27" s="3" customFormat="1" ht="75" x14ac:dyDescent="0.2">
      <c r="A253" s="40"/>
      <c r="B253" s="218">
        <v>239</v>
      </c>
      <c r="C253" s="218">
        <v>309001</v>
      </c>
      <c r="D253" s="218">
        <v>100100</v>
      </c>
      <c r="E253" s="227" t="s">
        <v>500</v>
      </c>
      <c r="F253" s="219" t="s">
        <v>754</v>
      </c>
      <c r="G253" s="228" t="s">
        <v>628</v>
      </c>
      <c r="H253" s="228" t="s">
        <v>502</v>
      </c>
      <c r="I253" s="65" t="s">
        <v>183</v>
      </c>
      <c r="J253" s="59">
        <v>25000</v>
      </c>
      <c r="K253" s="60">
        <v>15</v>
      </c>
      <c r="L253" s="60">
        <v>8769</v>
      </c>
      <c r="M253" s="60" t="s">
        <v>1448</v>
      </c>
      <c r="N253" s="61">
        <v>126778</v>
      </c>
      <c r="O253" s="62">
        <v>749.68</v>
      </c>
      <c r="P253" s="59">
        <v>42500</v>
      </c>
      <c r="Q253" s="59">
        <f t="shared" si="56"/>
        <v>56.690854764699608</v>
      </c>
      <c r="R253" s="63">
        <v>2020</v>
      </c>
      <c r="S253" s="133">
        <v>70</v>
      </c>
      <c r="T253" s="222" t="s">
        <v>1554</v>
      </c>
      <c r="U253" s="222" t="s">
        <v>1554</v>
      </c>
      <c r="V253" s="223">
        <v>42500</v>
      </c>
      <c r="W253" s="223">
        <f t="shared" si="68"/>
        <v>591600</v>
      </c>
      <c r="X253" s="223">
        <f t="shared" si="71"/>
        <v>591600</v>
      </c>
      <c r="Y253" s="224"/>
      <c r="Z253" s="167">
        <f>+X252+X253</f>
        <v>1941840</v>
      </c>
    </row>
    <row r="254" spans="1:27" s="3" customFormat="1" ht="56.25" x14ac:dyDescent="0.2">
      <c r="A254" s="40"/>
      <c r="B254" s="218">
        <v>240</v>
      </c>
      <c r="C254" s="218">
        <v>312401</v>
      </c>
      <c r="D254" s="218">
        <v>200200</v>
      </c>
      <c r="E254" s="227" t="s">
        <v>503</v>
      </c>
      <c r="F254" s="248" t="s">
        <v>755</v>
      </c>
      <c r="G254" s="228" t="s">
        <v>504</v>
      </c>
      <c r="H254" s="228" t="s">
        <v>506</v>
      </c>
      <c r="I254" s="65" t="s">
        <v>100</v>
      </c>
      <c r="J254" s="59">
        <v>17500</v>
      </c>
      <c r="K254" s="60">
        <v>30</v>
      </c>
      <c r="L254" s="60" t="s">
        <v>1201</v>
      </c>
      <c r="M254" s="60" t="s">
        <v>1202</v>
      </c>
      <c r="N254" s="61">
        <v>15001</v>
      </c>
      <c r="O254" s="62">
        <v>429.7</v>
      </c>
      <c r="P254" s="59">
        <v>15000</v>
      </c>
      <c r="Q254" s="59">
        <f t="shared" si="56"/>
        <v>34.908075401442865</v>
      </c>
      <c r="R254" s="63" t="s">
        <v>1334</v>
      </c>
      <c r="S254" s="133" t="s">
        <v>16</v>
      </c>
      <c r="T254" s="232" t="s">
        <v>13</v>
      </c>
      <c r="U254" s="222" t="s">
        <v>1554</v>
      </c>
      <c r="V254" s="223">
        <v>15000</v>
      </c>
      <c r="W254" s="223">
        <f t="shared" si="68"/>
        <v>208800</v>
      </c>
      <c r="X254" s="223">
        <f t="shared" si="71"/>
        <v>208800</v>
      </c>
      <c r="Y254" s="224"/>
      <c r="Z254" s="167"/>
    </row>
    <row r="255" spans="1:27" s="33" customFormat="1" ht="93.75" x14ac:dyDescent="0.2">
      <c r="A255" s="41"/>
      <c r="B255" s="218">
        <v>241</v>
      </c>
      <c r="C255" s="218">
        <v>312408</v>
      </c>
      <c r="D255" s="218">
        <v>200200</v>
      </c>
      <c r="E255" s="227" t="s">
        <v>503</v>
      </c>
      <c r="F255" s="248" t="s">
        <v>1343</v>
      </c>
      <c r="G255" s="228" t="s">
        <v>505</v>
      </c>
      <c r="H255" s="228" t="s">
        <v>507</v>
      </c>
      <c r="I255" s="65" t="s">
        <v>147</v>
      </c>
      <c r="J255" s="59">
        <v>2480</v>
      </c>
      <c r="K255" s="60">
        <v>10</v>
      </c>
      <c r="L255" s="60">
        <v>6777</v>
      </c>
      <c r="M255" s="60" t="s">
        <v>1203</v>
      </c>
      <c r="N255" s="61">
        <v>4516</v>
      </c>
      <c r="O255" s="62">
        <v>142.83000000000001</v>
      </c>
      <c r="P255" s="59">
        <v>4000</v>
      </c>
      <c r="Q255" s="59">
        <f t="shared" si="56"/>
        <v>28.005321010992088</v>
      </c>
      <c r="R255" s="63">
        <v>2018</v>
      </c>
      <c r="S255" s="64">
        <v>0.62</v>
      </c>
      <c r="T255" s="232" t="s">
        <v>13</v>
      </c>
      <c r="U255" s="222" t="s">
        <v>1554</v>
      </c>
      <c r="V255" s="223">
        <v>4000</v>
      </c>
      <c r="W255" s="223">
        <f t="shared" si="68"/>
        <v>55680</v>
      </c>
      <c r="X255" s="223">
        <f t="shared" si="71"/>
        <v>55680</v>
      </c>
      <c r="Y255" s="224"/>
      <c r="Z255" s="167"/>
      <c r="AA255" s="3"/>
    </row>
    <row r="256" spans="1:27" s="33" customFormat="1" ht="75" x14ac:dyDescent="0.2">
      <c r="A256" s="41"/>
      <c r="B256" s="218">
        <v>242</v>
      </c>
      <c r="C256" s="218">
        <v>312447</v>
      </c>
      <c r="D256" s="218" t="s">
        <v>1308</v>
      </c>
      <c r="E256" s="227" t="s">
        <v>503</v>
      </c>
      <c r="F256" s="248" t="s">
        <v>756</v>
      </c>
      <c r="G256" s="228" t="s">
        <v>590</v>
      </c>
      <c r="H256" s="228" t="s">
        <v>508</v>
      </c>
      <c r="I256" s="65" t="s">
        <v>184</v>
      </c>
      <c r="J256" s="59">
        <v>3479</v>
      </c>
      <c r="K256" s="60">
        <v>13</v>
      </c>
      <c r="L256" s="60" t="s">
        <v>1204</v>
      </c>
      <c r="M256" s="60" t="s">
        <v>1089</v>
      </c>
      <c r="N256" s="61">
        <v>3724</v>
      </c>
      <c r="O256" s="62">
        <v>57.65</v>
      </c>
      <c r="P256" s="59">
        <v>3724</v>
      </c>
      <c r="Q256" s="59">
        <f t="shared" si="56"/>
        <v>64.596704249783173</v>
      </c>
      <c r="R256" s="63">
        <v>2011</v>
      </c>
      <c r="S256" s="64">
        <v>7.0000000000000007E-2</v>
      </c>
      <c r="T256" s="222" t="s">
        <v>1554</v>
      </c>
      <c r="U256" s="222" t="s">
        <v>1554</v>
      </c>
      <c r="V256" s="223">
        <v>3724</v>
      </c>
      <c r="W256" s="223">
        <f t="shared" si="68"/>
        <v>51838.080000000002</v>
      </c>
      <c r="X256" s="223">
        <f t="shared" si="71"/>
        <v>51838.080000000002</v>
      </c>
      <c r="Y256" s="224"/>
      <c r="Z256" s="167"/>
      <c r="AA256" s="3"/>
    </row>
    <row r="257" spans="1:27" s="33" customFormat="1" ht="75" x14ac:dyDescent="0.2">
      <c r="A257" s="41"/>
      <c r="B257" s="218">
        <v>243</v>
      </c>
      <c r="C257" s="218">
        <v>319101</v>
      </c>
      <c r="D257" s="218">
        <v>900110</v>
      </c>
      <c r="E257" s="227" t="s">
        <v>503</v>
      </c>
      <c r="F257" s="248" t="s">
        <v>757</v>
      </c>
      <c r="G257" s="228" t="s">
        <v>227</v>
      </c>
      <c r="H257" s="228" t="s">
        <v>509</v>
      </c>
      <c r="I257" s="65" t="s">
        <v>185</v>
      </c>
      <c r="J257" s="59">
        <v>14658</v>
      </c>
      <c r="K257" s="60">
        <v>29</v>
      </c>
      <c r="L257" s="60" t="s">
        <v>1205</v>
      </c>
      <c r="M257" s="60" t="s">
        <v>1206</v>
      </c>
      <c r="N257" s="61">
        <v>55376</v>
      </c>
      <c r="O257" s="62">
        <v>1485</v>
      </c>
      <c r="P257" s="59">
        <v>50345.46</v>
      </c>
      <c r="Q257" s="59">
        <f t="shared" si="56"/>
        <v>33.902666666666669</v>
      </c>
      <c r="R257" s="63">
        <v>2011</v>
      </c>
      <c r="S257" s="64">
        <v>0.1</v>
      </c>
      <c r="T257" s="232" t="s">
        <v>869</v>
      </c>
      <c r="U257" s="222" t="s">
        <v>1554</v>
      </c>
      <c r="V257" s="223">
        <f>80397.47/1.16</f>
        <v>69308.163793103449</v>
      </c>
      <c r="W257" s="223">
        <f t="shared" si="68"/>
        <v>964769.64</v>
      </c>
      <c r="X257" s="223">
        <f t="shared" si="71"/>
        <v>964769.64</v>
      </c>
      <c r="Y257" s="224"/>
      <c r="Z257" s="167"/>
      <c r="AA257" s="3"/>
    </row>
    <row r="258" spans="1:27" s="33" customFormat="1" ht="75" x14ac:dyDescent="0.2">
      <c r="A258" s="41"/>
      <c r="B258" s="218">
        <v>244</v>
      </c>
      <c r="C258" s="218">
        <v>319103</v>
      </c>
      <c r="D258" s="218">
        <v>900110</v>
      </c>
      <c r="E258" s="227" t="s">
        <v>503</v>
      </c>
      <c r="F258" s="248" t="s">
        <v>758</v>
      </c>
      <c r="G258" s="228" t="s">
        <v>227</v>
      </c>
      <c r="H258" s="246" t="s">
        <v>510</v>
      </c>
      <c r="I258" s="65" t="s">
        <v>186</v>
      </c>
      <c r="J258" s="59">
        <v>3500</v>
      </c>
      <c r="K258" s="60">
        <v>30</v>
      </c>
      <c r="L258" s="60">
        <v>9435</v>
      </c>
      <c r="M258" s="60" t="s">
        <v>1543</v>
      </c>
      <c r="N258" s="61">
        <v>91721</v>
      </c>
      <c r="O258" s="62">
        <v>707.12</v>
      </c>
      <c r="P258" s="59">
        <v>38035.980000000003</v>
      </c>
      <c r="Q258" s="59">
        <f t="shared" si="56"/>
        <v>53.789993211901802</v>
      </c>
      <c r="R258" s="63">
        <v>2021</v>
      </c>
      <c r="S258" s="64">
        <v>0.06</v>
      </c>
      <c r="T258" s="232" t="s">
        <v>13</v>
      </c>
      <c r="U258" s="222" t="s">
        <v>1554</v>
      </c>
      <c r="V258" s="223">
        <f>44121.79/1.16</f>
        <v>38036.025862068971</v>
      </c>
      <c r="W258" s="223">
        <f t="shared" si="68"/>
        <v>529461.48</v>
      </c>
      <c r="X258" s="223">
        <f t="shared" si="71"/>
        <v>529461.48</v>
      </c>
      <c r="Y258" s="224"/>
      <c r="Z258" s="167"/>
      <c r="AA258" s="3"/>
    </row>
    <row r="259" spans="1:27" s="33" customFormat="1" ht="75" x14ac:dyDescent="0.2">
      <c r="A259" s="41"/>
      <c r="B259" s="262">
        <v>245</v>
      </c>
      <c r="C259" s="262">
        <v>319102</v>
      </c>
      <c r="D259" s="262">
        <v>900110</v>
      </c>
      <c r="E259" s="269" t="s">
        <v>503</v>
      </c>
      <c r="F259" s="286" t="s">
        <v>759</v>
      </c>
      <c r="G259" s="271" t="s">
        <v>227</v>
      </c>
      <c r="H259" s="271" t="s">
        <v>511</v>
      </c>
      <c r="I259" s="65" t="s">
        <v>187</v>
      </c>
      <c r="J259" s="59">
        <v>17660</v>
      </c>
      <c r="K259" s="60">
        <v>25</v>
      </c>
      <c r="L259" s="60" t="s">
        <v>1208</v>
      </c>
      <c r="M259" s="60" t="s">
        <v>1209</v>
      </c>
      <c r="N259" s="61">
        <v>34849</v>
      </c>
      <c r="O259" s="62">
        <v>802.75</v>
      </c>
      <c r="P259" s="59">
        <v>32569.14</v>
      </c>
      <c r="Q259" s="59">
        <f t="shared" si="56"/>
        <v>40.57195889131112</v>
      </c>
      <c r="R259" s="63">
        <v>2011</v>
      </c>
      <c r="S259" s="64">
        <v>7.0000000000000007E-2</v>
      </c>
      <c r="T259" s="266" t="s">
        <v>1554</v>
      </c>
      <c r="U259" s="272" t="s">
        <v>13</v>
      </c>
      <c r="V259" s="267">
        <f>37786.67/1.16</f>
        <v>32574.71551724138</v>
      </c>
      <c r="W259" s="267">
        <f t="shared" si="68"/>
        <v>453440.04</v>
      </c>
      <c r="X259" s="267">
        <f>ROUND(+V259*1.16*12*1.1,2)</f>
        <v>498784.04</v>
      </c>
      <c r="Y259" s="268" t="s">
        <v>1567</v>
      </c>
      <c r="Z259" s="167"/>
      <c r="AA259" s="3"/>
    </row>
    <row r="260" spans="1:27" s="33" customFormat="1" ht="93.75" x14ac:dyDescent="0.2">
      <c r="A260" s="41"/>
      <c r="B260" s="218">
        <v>246</v>
      </c>
      <c r="C260" s="218">
        <v>319001</v>
      </c>
      <c r="D260" s="218">
        <v>140100</v>
      </c>
      <c r="E260" s="227" t="s">
        <v>503</v>
      </c>
      <c r="F260" s="248" t="s">
        <v>760</v>
      </c>
      <c r="G260" s="220" t="s">
        <v>629</v>
      </c>
      <c r="H260" s="228" t="s">
        <v>512</v>
      </c>
      <c r="I260" s="65" t="s">
        <v>188</v>
      </c>
      <c r="J260" s="59">
        <v>20000</v>
      </c>
      <c r="K260" s="60">
        <v>30</v>
      </c>
      <c r="L260" s="60">
        <v>9318</v>
      </c>
      <c r="M260" s="60" t="s">
        <v>1537</v>
      </c>
      <c r="N260" s="61">
        <v>70011</v>
      </c>
      <c r="O260" s="62">
        <v>540.6</v>
      </c>
      <c r="P260" s="59">
        <v>48077.7</v>
      </c>
      <c r="Q260" s="59">
        <f t="shared" ref="Q260:Q295" si="72">+P260/O260</f>
        <v>88.933962264150935</v>
      </c>
      <c r="R260" s="63">
        <v>2021</v>
      </c>
      <c r="S260" s="64">
        <v>0.1</v>
      </c>
      <c r="T260" s="232" t="s">
        <v>13</v>
      </c>
      <c r="U260" s="222" t="s">
        <v>1554</v>
      </c>
      <c r="V260" s="223">
        <v>43707</v>
      </c>
      <c r="W260" s="223">
        <f t="shared" si="68"/>
        <v>608401.43999999994</v>
      </c>
      <c r="X260" s="223">
        <f t="shared" ref="X260:X266" si="73">ROUND(+W260,2)</f>
        <v>608401.43999999994</v>
      </c>
      <c r="Y260" s="224"/>
      <c r="Z260" s="167"/>
      <c r="AA260" s="3"/>
    </row>
    <row r="261" spans="1:27" s="33" customFormat="1" ht="112.5" x14ac:dyDescent="0.2">
      <c r="A261" s="41"/>
      <c r="B261" s="218">
        <v>247</v>
      </c>
      <c r="C261" s="218">
        <v>319104</v>
      </c>
      <c r="D261" s="218">
        <v>910110</v>
      </c>
      <c r="E261" s="227" t="s">
        <v>503</v>
      </c>
      <c r="F261" s="248" t="s">
        <v>1344</v>
      </c>
      <c r="G261" s="228" t="s">
        <v>227</v>
      </c>
      <c r="H261" s="228" t="s">
        <v>595</v>
      </c>
      <c r="I261" s="65" t="s">
        <v>611</v>
      </c>
      <c r="J261" s="59">
        <v>389436</v>
      </c>
      <c r="K261" s="60">
        <v>3</v>
      </c>
      <c r="L261" s="60">
        <v>6672</v>
      </c>
      <c r="M261" s="60" t="s">
        <v>1207</v>
      </c>
      <c r="N261" s="61">
        <v>389436</v>
      </c>
      <c r="O261" s="62">
        <v>2573</v>
      </c>
      <c r="P261" s="59">
        <v>389436</v>
      </c>
      <c r="Q261" s="59">
        <f t="shared" si="72"/>
        <v>151.35483870967741</v>
      </c>
      <c r="R261" s="63" t="s">
        <v>16</v>
      </c>
      <c r="S261" s="64" t="s">
        <v>16</v>
      </c>
      <c r="T261" s="222" t="s">
        <v>1554</v>
      </c>
      <c r="U261" s="222" t="s">
        <v>1554</v>
      </c>
      <c r="V261" s="223">
        <f>451745.76/1.16</f>
        <v>389436.00000000006</v>
      </c>
      <c r="W261" s="223">
        <f t="shared" si="68"/>
        <v>5420949.1200000001</v>
      </c>
      <c r="X261" s="223">
        <f t="shared" si="73"/>
        <v>5420949.1200000001</v>
      </c>
      <c r="Y261" s="224"/>
      <c r="Z261" s="167"/>
      <c r="AA261" s="3"/>
    </row>
    <row r="262" spans="1:27" s="33" customFormat="1" ht="56.25" x14ac:dyDescent="0.2">
      <c r="A262" s="41"/>
      <c r="B262" s="218">
        <v>248</v>
      </c>
      <c r="C262" s="218">
        <v>319001</v>
      </c>
      <c r="D262" s="218" t="s">
        <v>1328</v>
      </c>
      <c r="E262" s="227" t="s">
        <v>503</v>
      </c>
      <c r="F262" s="248" t="s">
        <v>761</v>
      </c>
      <c r="G262" s="228" t="s">
        <v>630</v>
      </c>
      <c r="H262" s="228" t="s">
        <v>513</v>
      </c>
      <c r="I262" s="65" t="s">
        <v>189</v>
      </c>
      <c r="J262" s="59">
        <v>17391.3</v>
      </c>
      <c r="K262" s="60">
        <v>15</v>
      </c>
      <c r="L262" s="60">
        <v>9434</v>
      </c>
      <c r="M262" s="60" t="s">
        <v>1543</v>
      </c>
      <c r="N262" s="61">
        <v>43172</v>
      </c>
      <c r="O262" s="62">
        <v>205.68</v>
      </c>
      <c r="P262" s="59">
        <v>22096.2</v>
      </c>
      <c r="Q262" s="59">
        <f t="shared" si="72"/>
        <v>107.42998833138857</v>
      </c>
      <c r="R262" s="63">
        <v>2021</v>
      </c>
      <c r="S262" s="64">
        <v>0.1</v>
      </c>
      <c r="T262" s="232" t="s">
        <v>13</v>
      </c>
      <c r="U262" s="222" t="s">
        <v>1554</v>
      </c>
      <c r="V262" s="223">
        <f>25631.73/1.16</f>
        <v>22096.318965517243</v>
      </c>
      <c r="W262" s="223">
        <f t="shared" si="68"/>
        <v>307580.76</v>
      </c>
      <c r="X262" s="223">
        <f t="shared" si="73"/>
        <v>307580.76</v>
      </c>
      <c r="Y262" s="224"/>
      <c r="Z262" s="167"/>
      <c r="AA262" s="3"/>
    </row>
    <row r="263" spans="1:27" s="33" customFormat="1" ht="56.25" x14ac:dyDescent="0.2">
      <c r="A263" s="41"/>
      <c r="B263" s="218">
        <v>249</v>
      </c>
      <c r="C263" s="218">
        <v>310401</v>
      </c>
      <c r="D263" s="218">
        <v>900110</v>
      </c>
      <c r="E263" s="227" t="s">
        <v>503</v>
      </c>
      <c r="F263" s="219" t="s">
        <v>762</v>
      </c>
      <c r="G263" s="228" t="s">
        <v>620</v>
      </c>
      <c r="H263" s="228" t="s">
        <v>514</v>
      </c>
      <c r="I263" s="65" t="s">
        <v>50</v>
      </c>
      <c r="J263" s="59">
        <v>3545</v>
      </c>
      <c r="K263" s="60">
        <v>8</v>
      </c>
      <c r="L263" s="60" t="s">
        <v>1210</v>
      </c>
      <c r="M263" s="60" t="s">
        <v>1209</v>
      </c>
      <c r="N263" s="61">
        <v>3545</v>
      </c>
      <c r="O263" s="62">
        <v>44.32</v>
      </c>
      <c r="P263" s="59">
        <v>3545</v>
      </c>
      <c r="Q263" s="59">
        <f t="shared" si="72"/>
        <v>79.986462093862812</v>
      </c>
      <c r="R263" s="63" t="s">
        <v>1334</v>
      </c>
      <c r="S263" s="64" t="s">
        <v>16</v>
      </c>
      <c r="T263" s="222" t="s">
        <v>1554</v>
      </c>
      <c r="U263" s="222" t="s">
        <v>1554</v>
      </c>
      <c r="V263" s="223">
        <v>38035.980000000003</v>
      </c>
      <c r="W263" s="223">
        <f t="shared" si="68"/>
        <v>529460.84159999993</v>
      </c>
      <c r="X263" s="223">
        <f t="shared" si="73"/>
        <v>529460.84</v>
      </c>
      <c r="Y263" s="224"/>
      <c r="Z263" s="167"/>
      <c r="AA263" s="3"/>
    </row>
    <row r="264" spans="1:27" s="33" customFormat="1" ht="56.25" x14ac:dyDescent="0.2">
      <c r="A264" s="41"/>
      <c r="B264" s="218">
        <v>250</v>
      </c>
      <c r="C264" s="218">
        <v>315901</v>
      </c>
      <c r="D264" s="218">
        <v>380200</v>
      </c>
      <c r="E264" s="227" t="s">
        <v>503</v>
      </c>
      <c r="F264" s="219" t="s">
        <v>763</v>
      </c>
      <c r="G264" s="228" t="s">
        <v>1368</v>
      </c>
      <c r="H264" s="228" t="s">
        <v>515</v>
      </c>
      <c r="I264" s="65" t="s">
        <v>190</v>
      </c>
      <c r="J264" s="59">
        <v>38867.99</v>
      </c>
      <c r="K264" s="60">
        <v>11</v>
      </c>
      <c r="L264" s="60">
        <v>8696</v>
      </c>
      <c r="M264" s="60" t="s">
        <v>1447</v>
      </c>
      <c r="N264" s="61">
        <v>212036</v>
      </c>
      <c r="O264" s="62">
        <v>1100</v>
      </c>
      <c r="P264" s="59">
        <v>47300</v>
      </c>
      <c r="Q264" s="59">
        <f t="shared" si="72"/>
        <v>43</v>
      </c>
      <c r="R264" s="63">
        <v>2020</v>
      </c>
      <c r="S264" s="64">
        <v>0.1</v>
      </c>
      <c r="T264" s="222" t="s">
        <v>1554</v>
      </c>
      <c r="U264" s="222" t="s">
        <v>1554</v>
      </c>
      <c r="V264" s="223">
        <f>54868/1.16</f>
        <v>47300</v>
      </c>
      <c r="W264" s="223">
        <f t="shared" si="68"/>
        <v>658415.99999999988</v>
      </c>
      <c r="X264" s="223">
        <f t="shared" si="73"/>
        <v>658416</v>
      </c>
      <c r="Y264" s="224"/>
      <c r="Z264" s="167"/>
      <c r="AA264" s="3"/>
    </row>
    <row r="265" spans="1:27" s="3" customFormat="1" ht="75" x14ac:dyDescent="0.2">
      <c r="A265" s="40"/>
      <c r="B265" s="218">
        <v>251</v>
      </c>
      <c r="C265" s="218">
        <v>315904</v>
      </c>
      <c r="D265" s="218">
        <v>380200</v>
      </c>
      <c r="E265" s="227" t="s">
        <v>503</v>
      </c>
      <c r="F265" s="219" t="s">
        <v>1395</v>
      </c>
      <c r="G265" s="228" t="s">
        <v>1369</v>
      </c>
      <c r="H265" s="228" t="s">
        <v>1404</v>
      </c>
      <c r="I265" s="65" t="s">
        <v>1396</v>
      </c>
      <c r="J265" s="59">
        <v>40000</v>
      </c>
      <c r="K265" s="60">
        <v>2</v>
      </c>
      <c r="L265" s="60">
        <v>7865</v>
      </c>
      <c r="M265" s="60" t="s">
        <v>1524</v>
      </c>
      <c r="N265" s="61">
        <v>42566</v>
      </c>
      <c r="O265" s="62">
        <v>360</v>
      </c>
      <c r="P265" s="59">
        <v>40000</v>
      </c>
      <c r="Q265" s="59">
        <f t="shared" si="72"/>
        <v>111.11111111111111</v>
      </c>
      <c r="R265" s="63" t="s">
        <v>16</v>
      </c>
      <c r="S265" s="64" t="s">
        <v>16</v>
      </c>
      <c r="T265" s="222" t="s">
        <v>1554</v>
      </c>
      <c r="U265" s="222" t="s">
        <v>1554</v>
      </c>
      <c r="V265" s="223">
        <v>40000</v>
      </c>
      <c r="W265" s="223">
        <f t="shared" si="68"/>
        <v>556800</v>
      </c>
      <c r="X265" s="223">
        <f t="shared" si="73"/>
        <v>556800</v>
      </c>
      <c r="Y265" s="224"/>
      <c r="Z265" s="167"/>
    </row>
    <row r="266" spans="1:27" s="3" customFormat="1" ht="75" x14ac:dyDescent="0.2">
      <c r="A266" s="41"/>
      <c r="B266" s="218">
        <v>252</v>
      </c>
      <c r="C266" s="218">
        <v>319101</v>
      </c>
      <c r="D266" s="218">
        <v>910110</v>
      </c>
      <c r="E266" s="227" t="s">
        <v>503</v>
      </c>
      <c r="F266" s="219" t="s">
        <v>764</v>
      </c>
      <c r="G266" s="228" t="s">
        <v>631</v>
      </c>
      <c r="H266" s="228" t="s">
        <v>516</v>
      </c>
      <c r="I266" s="65" t="s">
        <v>17</v>
      </c>
      <c r="J266" s="59">
        <v>11111</v>
      </c>
      <c r="K266" s="60">
        <v>27</v>
      </c>
      <c r="L266" s="60" t="s">
        <v>1211</v>
      </c>
      <c r="M266" s="60" t="s">
        <v>1206</v>
      </c>
      <c r="N266" s="61">
        <v>20858</v>
      </c>
      <c r="O266" s="62">
        <v>451</v>
      </c>
      <c r="P266" s="59">
        <v>18962.759999999998</v>
      </c>
      <c r="Q266" s="59">
        <f t="shared" si="72"/>
        <v>42.046031042128597</v>
      </c>
      <c r="R266" s="63">
        <v>2011</v>
      </c>
      <c r="S266" s="64">
        <v>0.1</v>
      </c>
      <c r="T266" s="222" t="s">
        <v>1554</v>
      </c>
      <c r="U266" s="222" t="s">
        <v>1554</v>
      </c>
      <c r="V266" s="223">
        <v>18962.759999999998</v>
      </c>
      <c r="W266" s="223">
        <f t="shared" si="68"/>
        <v>263961.61919999996</v>
      </c>
      <c r="X266" s="223">
        <f t="shared" si="73"/>
        <v>263961.62</v>
      </c>
      <c r="Y266" s="224"/>
      <c r="Z266" s="167">
        <f>SUM(X254:X266)</f>
        <v>10654903.02</v>
      </c>
    </row>
    <row r="267" spans="1:27" s="3" customFormat="1" ht="75" x14ac:dyDescent="0.2">
      <c r="A267" s="40"/>
      <c r="B267" s="290">
        <v>253</v>
      </c>
      <c r="C267" s="290">
        <v>322415</v>
      </c>
      <c r="D267" s="290">
        <v>200200</v>
      </c>
      <c r="E267" s="297" t="s">
        <v>517</v>
      </c>
      <c r="F267" s="291" t="s">
        <v>765</v>
      </c>
      <c r="G267" s="299" t="s">
        <v>518</v>
      </c>
      <c r="H267" s="299" t="s">
        <v>523</v>
      </c>
      <c r="I267" s="65" t="s">
        <v>119</v>
      </c>
      <c r="J267" s="59">
        <v>587.71</v>
      </c>
      <c r="K267" s="60">
        <v>22</v>
      </c>
      <c r="L267" s="60" t="s">
        <v>1212</v>
      </c>
      <c r="M267" s="60" t="s">
        <v>1213</v>
      </c>
      <c r="N267" s="61">
        <v>1838.25</v>
      </c>
      <c r="O267" s="62">
        <v>120.11</v>
      </c>
      <c r="P267" s="59">
        <v>1560</v>
      </c>
      <c r="Q267" s="59">
        <f t="shared" si="72"/>
        <v>12.988094246940305</v>
      </c>
      <c r="R267" s="63" t="s">
        <v>1330</v>
      </c>
      <c r="S267" s="64" t="s">
        <v>16</v>
      </c>
      <c r="T267" s="300" t="s">
        <v>11</v>
      </c>
      <c r="U267" s="300" t="s">
        <v>11</v>
      </c>
      <c r="V267" s="295">
        <v>1560</v>
      </c>
      <c r="W267" s="295">
        <f t="shared" si="68"/>
        <v>21715.199999999997</v>
      </c>
      <c r="X267" s="295">
        <f>ROUND(+V267*1.15*12*1.16,2)</f>
        <v>24972.48</v>
      </c>
      <c r="Y267" s="296" t="s">
        <v>1566</v>
      </c>
      <c r="Z267" s="167"/>
    </row>
    <row r="268" spans="1:27" s="33" customFormat="1" ht="75" x14ac:dyDescent="0.2">
      <c r="A268" s="41"/>
      <c r="B268" s="218">
        <v>254</v>
      </c>
      <c r="C268" s="218">
        <v>322447</v>
      </c>
      <c r="D268" s="218">
        <v>200200</v>
      </c>
      <c r="E268" s="227" t="s">
        <v>517</v>
      </c>
      <c r="F268" s="219" t="s">
        <v>766</v>
      </c>
      <c r="G268" s="228" t="s">
        <v>519</v>
      </c>
      <c r="H268" s="228" t="s">
        <v>524</v>
      </c>
      <c r="I268" s="65" t="s">
        <v>191</v>
      </c>
      <c r="J268" s="59">
        <v>6500</v>
      </c>
      <c r="K268" s="60">
        <v>22</v>
      </c>
      <c r="L268" s="60">
        <v>8788</v>
      </c>
      <c r="M268" s="60" t="s">
        <v>1451</v>
      </c>
      <c r="N268" s="61">
        <v>29904</v>
      </c>
      <c r="O268" s="62">
        <v>400</v>
      </c>
      <c r="P268" s="59">
        <v>11600</v>
      </c>
      <c r="Q268" s="59">
        <f t="shared" si="72"/>
        <v>29</v>
      </c>
      <c r="R268" s="72">
        <v>2020</v>
      </c>
      <c r="S268" s="64">
        <v>0.16</v>
      </c>
      <c r="T268" s="222" t="s">
        <v>1554</v>
      </c>
      <c r="U268" s="222" t="s">
        <v>1554</v>
      </c>
      <c r="V268" s="223">
        <v>11600</v>
      </c>
      <c r="W268" s="223">
        <f t="shared" si="68"/>
        <v>161471.99999999997</v>
      </c>
      <c r="X268" s="223">
        <f t="shared" ref="X268:X271" si="74">ROUND(+W268,2)</f>
        <v>161472</v>
      </c>
      <c r="Y268" s="224"/>
      <c r="Z268" s="167"/>
      <c r="AA268" s="3"/>
    </row>
    <row r="269" spans="1:27" s="33" customFormat="1" ht="75" x14ac:dyDescent="0.2">
      <c r="A269" s="41"/>
      <c r="B269" s="218">
        <v>255</v>
      </c>
      <c r="C269" s="218">
        <v>322443</v>
      </c>
      <c r="D269" s="218">
        <v>200200</v>
      </c>
      <c r="E269" s="227" t="s">
        <v>517</v>
      </c>
      <c r="F269" s="219" t="s">
        <v>1415</v>
      </c>
      <c r="G269" s="228" t="s">
        <v>520</v>
      </c>
      <c r="H269" s="228" t="s">
        <v>593</v>
      </c>
      <c r="I269" s="65" t="s">
        <v>594</v>
      </c>
      <c r="J269" s="59">
        <v>12931.5</v>
      </c>
      <c r="K269" s="60">
        <v>3</v>
      </c>
      <c r="L269" s="60">
        <v>8788</v>
      </c>
      <c r="M269" s="60" t="s">
        <v>1452</v>
      </c>
      <c r="N269" s="61">
        <v>17316</v>
      </c>
      <c r="O269" s="62">
        <v>300</v>
      </c>
      <c r="P269" s="59">
        <v>16450.2</v>
      </c>
      <c r="Q269" s="59">
        <f t="shared" si="72"/>
        <v>54.834000000000003</v>
      </c>
      <c r="R269" s="72">
        <v>2020</v>
      </c>
      <c r="S269" s="64">
        <v>0.27</v>
      </c>
      <c r="T269" s="232" t="s">
        <v>13</v>
      </c>
      <c r="U269" s="222" t="s">
        <v>1554</v>
      </c>
      <c r="V269" s="223">
        <v>16450.2</v>
      </c>
      <c r="W269" s="223">
        <f t="shared" si="68"/>
        <v>228986.78399999999</v>
      </c>
      <c r="X269" s="223">
        <f t="shared" si="74"/>
        <v>228986.78</v>
      </c>
      <c r="Y269" s="224"/>
      <c r="Z269" s="167"/>
      <c r="AA269" s="3"/>
    </row>
    <row r="270" spans="1:27" s="33" customFormat="1" ht="93.75" x14ac:dyDescent="0.2">
      <c r="A270" s="41"/>
      <c r="B270" s="218">
        <v>256</v>
      </c>
      <c r="C270" s="218">
        <v>322429</v>
      </c>
      <c r="D270" s="218">
        <v>200200</v>
      </c>
      <c r="E270" s="227" t="s">
        <v>517</v>
      </c>
      <c r="F270" s="219" t="s">
        <v>767</v>
      </c>
      <c r="G270" s="228" t="s">
        <v>521</v>
      </c>
      <c r="H270" s="246" t="s">
        <v>525</v>
      </c>
      <c r="I270" s="65" t="s">
        <v>192</v>
      </c>
      <c r="J270" s="59">
        <v>1500</v>
      </c>
      <c r="K270" s="60">
        <v>23</v>
      </c>
      <c r="L270" s="60">
        <v>9424</v>
      </c>
      <c r="M270" s="60" t="s">
        <v>1547</v>
      </c>
      <c r="N270" s="61">
        <v>27132</v>
      </c>
      <c r="O270" s="62">
        <v>210</v>
      </c>
      <c r="P270" s="59">
        <v>15000.3</v>
      </c>
      <c r="Q270" s="59">
        <f t="shared" si="72"/>
        <v>71.429999999999993</v>
      </c>
      <c r="R270" s="63">
        <v>2021</v>
      </c>
      <c r="S270" s="64">
        <v>3.54</v>
      </c>
      <c r="T270" s="232" t="s">
        <v>13</v>
      </c>
      <c r="U270" s="222" t="s">
        <v>1554</v>
      </c>
      <c r="V270" s="223">
        <v>15000.3</v>
      </c>
      <c r="W270" s="223">
        <f t="shared" si="68"/>
        <v>208804.17599999998</v>
      </c>
      <c r="X270" s="223">
        <f t="shared" si="74"/>
        <v>208804.18</v>
      </c>
      <c r="Y270" s="224"/>
      <c r="Z270" s="167"/>
      <c r="AA270" s="3"/>
    </row>
    <row r="271" spans="1:27" s="33" customFormat="1" ht="75" x14ac:dyDescent="0.2">
      <c r="A271" s="41"/>
      <c r="B271" s="218">
        <v>257</v>
      </c>
      <c r="C271" s="218">
        <v>322213</v>
      </c>
      <c r="D271" s="218">
        <v>200201</v>
      </c>
      <c r="E271" s="227" t="s">
        <v>517</v>
      </c>
      <c r="F271" s="219" t="s">
        <v>768</v>
      </c>
      <c r="G271" s="228" t="s">
        <v>522</v>
      </c>
      <c r="H271" s="228" t="s">
        <v>598</v>
      </c>
      <c r="I271" s="65" t="s">
        <v>193</v>
      </c>
      <c r="J271" s="59">
        <v>1500</v>
      </c>
      <c r="K271" s="60">
        <v>20</v>
      </c>
      <c r="L271" s="60" t="s">
        <v>1215</v>
      </c>
      <c r="M271" s="60" t="s">
        <v>1214</v>
      </c>
      <c r="N271" s="61">
        <v>3110</v>
      </c>
      <c r="O271" s="62">
        <v>80</v>
      </c>
      <c r="P271" s="59">
        <v>3110</v>
      </c>
      <c r="Q271" s="59">
        <f t="shared" si="72"/>
        <v>38.875</v>
      </c>
      <c r="R271" s="63">
        <v>2018</v>
      </c>
      <c r="S271" s="64" t="s">
        <v>602</v>
      </c>
      <c r="T271" s="222" t="s">
        <v>1554</v>
      </c>
      <c r="U271" s="222" t="s">
        <v>1554</v>
      </c>
      <c r="V271" s="223">
        <v>3110</v>
      </c>
      <c r="W271" s="223">
        <f t="shared" si="68"/>
        <v>43291.199999999997</v>
      </c>
      <c r="X271" s="223">
        <f t="shared" si="74"/>
        <v>43291.199999999997</v>
      </c>
      <c r="Y271" s="224"/>
      <c r="Z271" s="167"/>
      <c r="AA271" s="3"/>
    </row>
    <row r="272" spans="1:27" s="33" customFormat="1" ht="75" x14ac:dyDescent="0.2">
      <c r="A272" s="41"/>
      <c r="B272" s="290">
        <v>258</v>
      </c>
      <c r="C272" s="290">
        <v>329101</v>
      </c>
      <c r="D272" s="290">
        <v>900110</v>
      </c>
      <c r="E272" s="297" t="s">
        <v>517</v>
      </c>
      <c r="F272" s="291" t="s">
        <v>1542</v>
      </c>
      <c r="G272" s="299" t="s">
        <v>227</v>
      </c>
      <c r="H272" s="299" t="s">
        <v>526</v>
      </c>
      <c r="I272" s="65" t="s">
        <v>119</v>
      </c>
      <c r="J272" s="59">
        <v>17500</v>
      </c>
      <c r="K272" s="60">
        <v>22</v>
      </c>
      <c r="L272" s="60">
        <v>9427</v>
      </c>
      <c r="M272" s="60" t="s">
        <v>1546</v>
      </c>
      <c r="N272" s="61">
        <v>130622</v>
      </c>
      <c r="O272" s="62">
        <v>991.74</v>
      </c>
      <c r="P272" s="59">
        <v>36198.51</v>
      </c>
      <c r="Q272" s="59">
        <f t="shared" si="72"/>
        <v>36.5</v>
      </c>
      <c r="R272" s="63">
        <v>2021</v>
      </c>
      <c r="S272" s="64">
        <v>0.46</v>
      </c>
      <c r="T272" s="300" t="s">
        <v>13</v>
      </c>
      <c r="U272" s="300" t="s">
        <v>11</v>
      </c>
      <c r="V272" s="295">
        <v>36198.51</v>
      </c>
      <c r="W272" s="295">
        <f t="shared" si="68"/>
        <v>503883.25919999997</v>
      </c>
      <c r="X272" s="295">
        <f t="shared" ref="X272:X274" si="75">ROUND(+V272*1.15*12*1.16,2)</f>
        <v>579465.75</v>
      </c>
      <c r="Y272" s="296" t="s">
        <v>1566</v>
      </c>
      <c r="Z272" s="167"/>
      <c r="AA272" s="3"/>
    </row>
    <row r="273" spans="1:27" s="33" customFormat="1" ht="93.75" x14ac:dyDescent="0.2">
      <c r="A273" s="41"/>
      <c r="B273" s="290">
        <v>259</v>
      </c>
      <c r="C273" s="290">
        <v>329102</v>
      </c>
      <c r="D273" s="290">
        <v>900110</v>
      </c>
      <c r="E273" s="297" t="s">
        <v>517</v>
      </c>
      <c r="F273" s="291" t="s">
        <v>769</v>
      </c>
      <c r="G273" s="299" t="s">
        <v>227</v>
      </c>
      <c r="H273" s="299" t="s">
        <v>527</v>
      </c>
      <c r="I273" s="65" t="s">
        <v>194</v>
      </c>
      <c r="J273" s="59">
        <v>11250</v>
      </c>
      <c r="K273" s="60">
        <v>29</v>
      </c>
      <c r="L273" s="60">
        <v>8602</v>
      </c>
      <c r="M273" s="60" t="s">
        <v>1441</v>
      </c>
      <c r="N273" s="61">
        <v>102029</v>
      </c>
      <c r="O273" s="62">
        <v>1345.5</v>
      </c>
      <c r="P273" s="59">
        <v>60000</v>
      </c>
      <c r="Q273" s="59">
        <f t="shared" si="72"/>
        <v>44.593088071348944</v>
      </c>
      <c r="R273" s="63">
        <v>2020</v>
      </c>
      <c r="S273" s="132">
        <v>0.53</v>
      </c>
      <c r="T273" s="294" t="s">
        <v>1554</v>
      </c>
      <c r="U273" s="300" t="s">
        <v>11</v>
      </c>
      <c r="V273" s="295">
        <v>60000</v>
      </c>
      <c r="W273" s="295">
        <f t="shared" si="68"/>
        <v>835200</v>
      </c>
      <c r="X273" s="295">
        <f t="shared" si="75"/>
        <v>960480</v>
      </c>
      <c r="Y273" s="296" t="s">
        <v>1566</v>
      </c>
      <c r="Z273" s="167"/>
      <c r="AA273" s="3"/>
    </row>
    <row r="274" spans="1:27" s="33" customFormat="1" ht="75" x14ac:dyDescent="0.2">
      <c r="A274" s="41"/>
      <c r="B274" s="290">
        <v>260</v>
      </c>
      <c r="C274" s="290">
        <v>320203</v>
      </c>
      <c r="D274" s="290">
        <v>910110</v>
      </c>
      <c r="E274" s="297" t="s">
        <v>517</v>
      </c>
      <c r="F274" s="291" t="s">
        <v>770</v>
      </c>
      <c r="G274" s="299" t="s">
        <v>771</v>
      </c>
      <c r="H274" s="299" t="s">
        <v>528</v>
      </c>
      <c r="I274" s="65" t="s">
        <v>195</v>
      </c>
      <c r="J274" s="59">
        <v>3700</v>
      </c>
      <c r="K274" s="60">
        <v>19</v>
      </c>
      <c r="L274" s="60" t="s">
        <v>1216</v>
      </c>
      <c r="M274" s="60" t="s">
        <v>1214</v>
      </c>
      <c r="N274" s="61">
        <v>5711</v>
      </c>
      <c r="O274" s="62">
        <v>119</v>
      </c>
      <c r="P274" s="59">
        <v>4079.25</v>
      </c>
      <c r="Q274" s="59">
        <f t="shared" si="72"/>
        <v>34.279411764705884</v>
      </c>
      <c r="R274" s="63">
        <v>2007</v>
      </c>
      <c r="S274" s="64">
        <v>0.05</v>
      </c>
      <c r="T274" s="294" t="s">
        <v>1554</v>
      </c>
      <c r="U274" s="300" t="s">
        <v>11</v>
      </c>
      <c r="V274" s="295">
        <v>4079.25</v>
      </c>
      <c r="W274" s="295">
        <f t="shared" si="68"/>
        <v>56783.159999999989</v>
      </c>
      <c r="X274" s="295">
        <f t="shared" si="75"/>
        <v>65300.63</v>
      </c>
      <c r="Y274" s="296" t="s">
        <v>1566</v>
      </c>
      <c r="Z274" s="167"/>
      <c r="AA274" s="3"/>
    </row>
    <row r="275" spans="1:27" s="33" customFormat="1" ht="75" x14ac:dyDescent="0.2">
      <c r="A275" s="41"/>
      <c r="B275" s="262">
        <v>261</v>
      </c>
      <c r="C275" s="262">
        <v>325903</v>
      </c>
      <c r="D275" s="262">
        <v>380200</v>
      </c>
      <c r="E275" s="269" t="s">
        <v>517</v>
      </c>
      <c r="F275" s="263" t="s">
        <v>772</v>
      </c>
      <c r="G275" s="271" t="s">
        <v>392</v>
      </c>
      <c r="H275" s="271" t="s">
        <v>599</v>
      </c>
      <c r="I275" s="65" t="s">
        <v>79</v>
      </c>
      <c r="J275" s="59">
        <v>12000</v>
      </c>
      <c r="K275" s="60">
        <v>11</v>
      </c>
      <c r="L275" s="60" t="s">
        <v>1217</v>
      </c>
      <c r="M275" s="60" t="s">
        <v>1218</v>
      </c>
      <c r="N275" s="61">
        <v>12003</v>
      </c>
      <c r="O275" s="62">
        <v>537.29</v>
      </c>
      <c r="P275" s="59">
        <v>15000</v>
      </c>
      <c r="Q275" s="59">
        <f t="shared" si="72"/>
        <v>27.917884196616356</v>
      </c>
      <c r="R275" s="63">
        <v>2019</v>
      </c>
      <c r="S275" s="64">
        <v>0.25</v>
      </c>
      <c r="T275" s="266" t="s">
        <v>1554</v>
      </c>
      <c r="U275" s="266" t="s">
        <v>13</v>
      </c>
      <c r="V275" s="267">
        <v>15000.3</v>
      </c>
      <c r="W275" s="267">
        <f t="shared" si="68"/>
        <v>208804.17599999998</v>
      </c>
      <c r="X275" s="267">
        <f>ROUND(+V275*1.16*12*1.1,2)</f>
        <v>229684.59</v>
      </c>
      <c r="Y275" s="268" t="s">
        <v>1567</v>
      </c>
      <c r="Z275" s="167"/>
      <c r="AA275" s="3"/>
    </row>
    <row r="276" spans="1:27" s="33" customFormat="1" ht="93.75" x14ac:dyDescent="0.2">
      <c r="A276" s="41"/>
      <c r="B276" s="290">
        <v>262</v>
      </c>
      <c r="C276" s="290">
        <v>325904</v>
      </c>
      <c r="D276" s="290">
        <v>380200</v>
      </c>
      <c r="E276" s="297" t="s">
        <v>517</v>
      </c>
      <c r="F276" s="291" t="s">
        <v>773</v>
      </c>
      <c r="G276" s="299" t="s">
        <v>392</v>
      </c>
      <c r="H276" s="299" t="s">
        <v>529</v>
      </c>
      <c r="I276" s="65" t="s">
        <v>107</v>
      </c>
      <c r="J276" s="59">
        <v>5217</v>
      </c>
      <c r="K276" s="60">
        <v>21</v>
      </c>
      <c r="L276" s="60" t="s">
        <v>1219</v>
      </c>
      <c r="M276" s="60" t="s">
        <v>897</v>
      </c>
      <c r="N276" s="61">
        <v>20228</v>
      </c>
      <c r="O276" s="62">
        <v>870</v>
      </c>
      <c r="P276" s="59">
        <v>12678.74</v>
      </c>
      <c r="Q276" s="59">
        <f t="shared" si="72"/>
        <v>14.573264367816092</v>
      </c>
      <c r="R276" s="63" t="s">
        <v>1330</v>
      </c>
      <c r="S276" s="64" t="s">
        <v>16</v>
      </c>
      <c r="T276" s="300" t="s">
        <v>11</v>
      </c>
      <c r="U276" s="300" t="s">
        <v>11</v>
      </c>
      <c r="V276" s="295">
        <v>12678.74</v>
      </c>
      <c r="W276" s="295">
        <f t="shared" si="68"/>
        <v>176488.06079999998</v>
      </c>
      <c r="X276" s="295">
        <f t="shared" ref="X276:X279" si="76">ROUND(+V276*1.15*12*1.16,2)</f>
        <v>202961.27</v>
      </c>
      <c r="Y276" s="296" t="s">
        <v>1566</v>
      </c>
      <c r="Z276" s="167"/>
      <c r="AA276" s="3"/>
    </row>
    <row r="277" spans="1:27" s="33" customFormat="1" ht="75" x14ac:dyDescent="0.2">
      <c r="A277" s="41"/>
      <c r="B277" s="290">
        <v>263</v>
      </c>
      <c r="C277" s="290">
        <v>325906</v>
      </c>
      <c r="D277" s="290">
        <v>380200</v>
      </c>
      <c r="E277" s="297" t="s">
        <v>517</v>
      </c>
      <c r="F277" s="291" t="s">
        <v>774</v>
      </c>
      <c r="G277" s="299" t="s">
        <v>392</v>
      </c>
      <c r="H277" s="299" t="s">
        <v>530</v>
      </c>
      <c r="I277" s="65" t="s">
        <v>107</v>
      </c>
      <c r="J277" s="59">
        <v>7000</v>
      </c>
      <c r="K277" s="60">
        <v>21</v>
      </c>
      <c r="L277" s="60" t="s">
        <v>1220</v>
      </c>
      <c r="M277" s="60" t="s">
        <v>1221</v>
      </c>
      <c r="N277" s="61">
        <v>14490</v>
      </c>
      <c r="O277" s="62">
        <v>900</v>
      </c>
      <c r="P277" s="59">
        <v>10939.56</v>
      </c>
      <c r="Q277" s="59">
        <f t="shared" si="72"/>
        <v>12.155066666666666</v>
      </c>
      <c r="R277" s="63">
        <v>2012</v>
      </c>
      <c r="S277" s="64">
        <v>0.05</v>
      </c>
      <c r="T277" s="300" t="s">
        <v>11</v>
      </c>
      <c r="U277" s="300" t="s">
        <v>11</v>
      </c>
      <c r="V277" s="295">
        <v>10939.56</v>
      </c>
      <c r="W277" s="295">
        <f t="shared" si="68"/>
        <v>152278.6752</v>
      </c>
      <c r="X277" s="295">
        <f t="shared" si="76"/>
        <v>175120.48</v>
      </c>
      <c r="Y277" s="296" t="s">
        <v>1566</v>
      </c>
      <c r="Z277" s="167"/>
      <c r="AA277" s="3"/>
    </row>
    <row r="278" spans="1:27" s="33" customFormat="1" ht="56.25" x14ac:dyDescent="0.2">
      <c r="A278" s="41"/>
      <c r="B278" s="290">
        <v>264</v>
      </c>
      <c r="C278" s="290">
        <v>325902</v>
      </c>
      <c r="D278" s="290">
        <v>380200</v>
      </c>
      <c r="E278" s="297" t="s">
        <v>517</v>
      </c>
      <c r="F278" s="291" t="s">
        <v>775</v>
      </c>
      <c r="G278" s="299" t="s">
        <v>392</v>
      </c>
      <c r="H278" s="299" t="s">
        <v>531</v>
      </c>
      <c r="I278" s="65" t="s">
        <v>37</v>
      </c>
      <c r="J278" s="59">
        <v>9013</v>
      </c>
      <c r="K278" s="60">
        <v>31</v>
      </c>
      <c r="L278" s="60" t="s">
        <v>1222</v>
      </c>
      <c r="M278" s="60" t="s">
        <v>1223</v>
      </c>
      <c r="N278" s="61">
        <v>23042</v>
      </c>
      <c r="O278" s="62">
        <v>1097.22</v>
      </c>
      <c r="P278" s="59">
        <v>19029.150000000001</v>
      </c>
      <c r="Q278" s="59">
        <f t="shared" si="72"/>
        <v>17.343057909990705</v>
      </c>
      <c r="R278" s="63">
        <v>2009</v>
      </c>
      <c r="S278" s="64">
        <v>0.05</v>
      </c>
      <c r="T278" s="300" t="s">
        <v>11</v>
      </c>
      <c r="U278" s="300" t="s">
        <v>11</v>
      </c>
      <c r="V278" s="295">
        <v>19029.150000000001</v>
      </c>
      <c r="W278" s="295">
        <f t="shared" si="68"/>
        <v>264885.76799999998</v>
      </c>
      <c r="X278" s="295">
        <f t="shared" si="76"/>
        <v>304618.63</v>
      </c>
      <c r="Y278" s="296" t="s">
        <v>1566</v>
      </c>
      <c r="Z278" s="167"/>
      <c r="AA278" s="3"/>
    </row>
    <row r="279" spans="1:27" s="33" customFormat="1" ht="75" x14ac:dyDescent="0.2">
      <c r="A279" s="41"/>
      <c r="B279" s="290">
        <v>265</v>
      </c>
      <c r="C279" s="290">
        <v>329001</v>
      </c>
      <c r="D279" s="290">
        <v>140100</v>
      </c>
      <c r="E279" s="297" t="s">
        <v>517</v>
      </c>
      <c r="F279" s="291" t="s">
        <v>776</v>
      </c>
      <c r="G279" s="299" t="s">
        <v>387</v>
      </c>
      <c r="H279" s="299" t="s">
        <v>532</v>
      </c>
      <c r="I279" s="65" t="s">
        <v>196</v>
      </c>
      <c r="J279" s="59">
        <v>8500</v>
      </c>
      <c r="K279" s="60">
        <v>19</v>
      </c>
      <c r="L279" s="60" t="s">
        <v>1224</v>
      </c>
      <c r="M279" s="60" t="s">
        <v>1225</v>
      </c>
      <c r="N279" s="61">
        <v>16205</v>
      </c>
      <c r="O279" s="62">
        <v>589.80999999999995</v>
      </c>
      <c r="P279" s="59">
        <v>12155.06</v>
      </c>
      <c r="Q279" s="59">
        <f t="shared" si="72"/>
        <v>20.608433224258661</v>
      </c>
      <c r="R279" s="63">
        <v>2009</v>
      </c>
      <c r="S279" s="64">
        <v>0.05</v>
      </c>
      <c r="T279" s="300" t="s">
        <v>11</v>
      </c>
      <c r="U279" s="300" t="s">
        <v>11</v>
      </c>
      <c r="V279" s="295">
        <v>12155.06</v>
      </c>
      <c r="W279" s="295">
        <f t="shared" si="68"/>
        <v>169198.43519999998</v>
      </c>
      <c r="X279" s="295">
        <f t="shared" si="76"/>
        <v>194578.2</v>
      </c>
      <c r="Y279" s="296" t="s">
        <v>1566</v>
      </c>
      <c r="Z279" s="167">
        <f>SUM(X267:X279)</f>
        <v>3379736.1899999995</v>
      </c>
      <c r="AA279" s="3"/>
    </row>
    <row r="280" spans="1:27" s="33" customFormat="1" ht="56.25" x14ac:dyDescent="0.2">
      <c r="A280" s="41"/>
      <c r="B280" s="218">
        <v>266</v>
      </c>
      <c r="C280" s="218">
        <v>339002</v>
      </c>
      <c r="D280" s="218">
        <v>50100</v>
      </c>
      <c r="E280" s="227" t="s">
        <v>1463</v>
      </c>
      <c r="F280" s="219" t="s">
        <v>1550</v>
      </c>
      <c r="G280" s="228" t="s">
        <v>1464</v>
      </c>
      <c r="H280" s="228" t="s">
        <v>1465</v>
      </c>
      <c r="I280" s="65" t="s">
        <v>1466</v>
      </c>
      <c r="J280" s="59">
        <v>15000</v>
      </c>
      <c r="K280" s="60" t="s">
        <v>16</v>
      </c>
      <c r="L280" s="60">
        <v>9027</v>
      </c>
      <c r="M280" s="60">
        <v>44154</v>
      </c>
      <c r="N280" s="61">
        <v>22792</v>
      </c>
      <c r="O280" s="62">
        <v>234.56</v>
      </c>
      <c r="P280" s="59">
        <v>15000</v>
      </c>
      <c r="Q280" s="59">
        <f t="shared" si="72"/>
        <v>63.949522510231922</v>
      </c>
      <c r="R280" s="63" t="s">
        <v>16</v>
      </c>
      <c r="S280" s="64" t="s">
        <v>16</v>
      </c>
      <c r="T280" s="222" t="s">
        <v>1554</v>
      </c>
      <c r="U280" s="222" t="s">
        <v>1554</v>
      </c>
      <c r="V280" s="223">
        <v>15000</v>
      </c>
      <c r="W280" s="223">
        <f>+V280*12</f>
        <v>180000</v>
      </c>
      <c r="X280" s="223">
        <f t="shared" ref="X280:X287" si="77">ROUND(+W280,2)</f>
        <v>180000</v>
      </c>
      <c r="Y280" s="224"/>
      <c r="Z280" s="167">
        <f>+X280</f>
        <v>180000</v>
      </c>
      <c r="AA280" s="3"/>
    </row>
    <row r="281" spans="1:27" s="33" customFormat="1" ht="75" x14ac:dyDescent="0.2">
      <c r="A281" s="41"/>
      <c r="B281" s="218">
        <v>267</v>
      </c>
      <c r="C281" s="218">
        <v>345801</v>
      </c>
      <c r="D281" s="218">
        <v>800201</v>
      </c>
      <c r="E281" s="227" t="s">
        <v>533</v>
      </c>
      <c r="F281" s="219" t="s">
        <v>777</v>
      </c>
      <c r="G281" s="228" t="s">
        <v>223</v>
      </c>
      <c r="H281" s="228" t="s">
        <v>534</v>
      </c>
      <c r="I281" s="65" t="s">
        <v>19</v>
      </c>
      <c r="J281" s="59">
        <v>7000</v>
      </c>
      <c r="K281" s="60">
        <v>27</v>
      </c>
      <c r="L281" s="60">
        <v>8994</v>
      </c>
      <c r="M281" s="60" t="s">
        <v>1520</v>
      </c>
      <c r="N281" s="61">
        <v>70188</v>
      </c>
      <c r="O281" s="62">
        <v>578.82000000000005</v>
      </c>
      <c r="P281" s="59">
        <v>20240</v>
      </c>
      <c r="Q281" s="59">
        <f t="shared" si="72"/>
        <v>34.967692892436332</v>
      </c>
      <c r="R281" s="63">
        <v>2021</v>
      </c>
      <c r="S281" s="64">
        <v>0.15</v>
      </c>
      <c r="T281" s="222" t="s">
        <v>1554</v>
      </c>
      <c r="U281" s="222" t="s">
        <v>1554</v>
      </c>
      <c r="V281" s="223">
        <v>20240</v>
      </c>
      <c r="W281" s="223">
        <f t="shared" ref="W281:W287" si="78">+V281*1.16*12</f>
        <v>281740.79999999999</v>
      </c>
      <c r="X281" s="223">
        <f t="shared" si="77"/>
        <v>281740.79999999999</v>
      </c>
      <c r="Y281" s="224"/>
      <c r="Z281" s="167"/>
      <c r="AA281" s="3"/>
    </row>
    <row r="282" spans="1:27" s="33" customFormat="1" ht="56.25" x14ac:dyDescent="0.2">
      <c r="A282" s="41"/>
      <c r="B282" s="218">
        <v>268</v>
      </c>
      <c r="C282" s="218">
        <v>349102</v>
      </c>
      <c r="D282" s="218">
        <v>900110</v>
      </c>
      <c r="E282" s="227" t="s">
        <v>533</v>
      </c>
      <c r="F282" s="219" t="s">
        <v>778</v>
      </c>
      <c r="G282" s="228" t="s">
        <v>227</v>
      </c>
      <c r="H282" s="228" t="s">
        <v>535</v>
      </c>
      <c r="I282" s="65" t="s">
        <v>197</v>
      </c>
      <c r="J282" s="59">
        <v>20000</v>
      </c>
      <c r="K282" s="60">
        <v>17</v>
      </c>
      <c r="L282" s="60" t="s">
        <v>1226</v>
      </c>
      <c r="M282" s="60" t="s">
        <v>1227</v>
      </c>
      <c r="N282" s="61">
        <v>28608</v>
      </c>
      <c r="O282" s="62">
        <v>656</v>
      </c>
      <c r="P282" s="59">
        <v>22100</v>
      </c>
      <c r="Q282" s="59">
        <f t="shared" si="72"/>
        <v>33.689024390243901</v>
      </c>
      <c r="R282" s="63">
        <v>2011</v>
      </c>
      <c r="S282" s="64">
        <v>5.2400000000000002E-2</v>
      </c>
      <c r="T282" s="232" t="s">
        <v>13</v>
      </c>
      <c r="U282" s="222" t="s">
        <v>1554</v>
      </c>
      <c r="V282" s="223">
        <v>26522.080000000002</v>
      </c>
      <c r="W282" s="223">
        <f t="shared" si="78"/>
        <v>369187.35359999997</v>
      </c>
      <c r="X282" s="223">
        <f t="shared" si="77"/>
        <v>369187.35</v>
      </c>
      <c r="Y282" s="224"/>
      <c r="Z282" s="167"/>
      <c r="AA282" s="3"/>
    </row>
    <row r="283" spans="1:27" s="33" customFormat="1" ht="56.25" x14ac:dyDescent="0.2">
      <c r="A283" s="41"/>
      <c r="B283" s="218">
        <v>269</v>
      </c>
      <c r="C283" s="218">
        <v>345904</v>
      </c>
      <c r="D283" s="218">
        <v>380200</v>
      </c>
      <c r="E283" s="227" t="s">
        <v>533</v>
      </c>
      <c r="F283" s="219" t="s">
        <v>779</v>
      </c>
      <c r="G283" s="228" t="s">
        <v>261</v>
      </c>
      <c r="H283" s="228" t="s">
        <v>536</v>
      </c>
      <c r="I283" s="65" t="s">
        <v>91</v>
      </c>
      <c r="J283" s="59">
        <v>9001.6</v>
      </c>
      <c r="K283" s="60">
        <v>21</v>
      </c>
      <c r="L283" s="60" t="s">
        <v>1228</v>
      </c>
      <c r="M283" s="60" t="s">
        <v>944</v>
      </c>
      <c r="N283" s="61">
        <v>12691</v>
      </c>
      <c r="O283" s="62">
        <v>388</v>
      </c>
      <c r="P283" s="59">
        <v>12287.6</v>
      </c>
      <c r="Q283" s="59">
        <f t="shared" si="72"/>
        <v>31.669072164948453</v>
      </c>
      <c r="R283" s="63">
        <v>2021</v>
      </c>
      <c r="S283" s="64">
        <v>0.3</v>
      </c>
      <c r="T283" s="222" t="s">
        <v>1554</v>
      </c>
      <c r="U283" s="222" t="s">
        <v>1554</v>
      </c>
      <c r="V283" s="223">
        <v>12287.6</v>
      </c>
      <c r="W283" s="223">
        <f t="shared" si="78"/>
        <v>171043.39199999999</v>
      </c>
      <c r="X283" s="223">
        <f t="shared" si="77"/>
        <v>171043.39</v>
      </c>
      <c r="Y283" s="224"/>
      <c r="Z283" s="167"/>
      <c r="AA283" s="3"/>
    </row>
    <row r="284" spans="1:27" s="33" customFormat="1" ht="75" x14ac:dyDescent="0.2">
      <c r="A284" s="41"/>
      <c r="B284" s="218">
        <v>270</v>
      </c>
      <c r="C284" s="218">
        <v>345906</v>
      </c>
      <c r="D284" s="218">
        <v>380200</v>
      </c>
      <c r="E284" s="227" t="s">
        <v>533</v>
      </c>
      <c r="F284" s="219" t="s">
        <v>780</v>
      </c>
      <c r="G284" s="228" t="s">
        <v>444</v>
      </c>
      <c r="H284" s="228" t="s">
        <v>537</v>
      </c>
      <c r="I284" s="65" t="s">
        <v>782</v>
      </c>
      <c r="J284" s="59">
        <v>9350</v>
      </c>
      <c r="K284" s="60">
        <v>4</v>
      </c>
      <c r="L284" s="60">
        <v>8979</v>
      </c>
      <c r="M284" s="60" t="s">
        <v>1478</v>
      </c>
      <c r="N284" s="61">
        <v>17145</v>
      </c>
      <c r="O284" s="62">
        <v>215.06</v>
      </c>
      <c r="P284" s="59">
        <v>12155</v>
      </c>
      <c r="Q284" s="59">
        <f t="shared" si="72"/>
        <v>56.519110945782572</v>
      </c>
      <c r="R284" s="63">
        <v>2021</v>
      </c>
      <c r="S284" s="64">
        <v>0.3</v>
      </c>
      <c r="T284" s="222" t="s">
        <v>1554</v>
      </c>
      <c r="U284" s="222" t="s">
        <v>1554</v>
      </c>
      <c r="V284" s="223">
        <v>12155</v>
      </c>
      <c r="W284" s="223">
        <f t="shared" si="78"/>
        <v>169197.59999999998</v>
      </c>
      <c r="X284" s="223">
        <f t="shared" si="77"/>
        <v>169197.6</v>
      </c>
      <c r="Y284" s="224"/>
      <c r="Z284" s="167"/>
      <c r="AA284" s="3"/>
    </row>
    <row r="285" spans="1:27" s="33" customFormat="1" ht="93.75" x14ac:dyDescent="0.2">
      <c r="A285" s="41"/>
      <c r="B285" s="218">
        <v>271</v>
      </c>
      <c r="C285" s="218">
        <v>345901</v>
      </c>
      <c r="D285" s="218">
        <v>380200</v>
      </c>
      <c r="E285" s="227" t="s">
        <v>533</v>
      </c>
      <c r="F285" s="219" t="s">
        <v>781</v>
      </c>
      <c r="G285" s="228" t="s">
        <v>444</v>
      </c>
      <c r="H285" s="228" t="s">
        <v>538</v>
      </c>
      <c r="I285" s="65" t="s">
        <v>198</v>
      </c>
      <c r="J285" s="59">
        <v>50</v>
      </c>
      <c r="K285" s="60">
        <v>38</v>
      </c>
      <c r="L285" s="60" t="s">
        <v>1229</v>
      </c>
      <c r="M285" s="60" t="s">
        <v>1230</v>
      </c>
      <c r="N285" s="61">
        <v>33541</v>
      </c>
      <c r="O285" s="62">
        <v>1067.17</v>
      </c>
      <c r="P285" s="59">
        <v>16718.580000000002</v>
      </c>
      <c r="Q285" s="59">
        <f t="shared" si="72"/>
        <v>15.666276225905902</v>
      </c>
      <c r="R285" s="63">
        <v>2021</v>
      </c>
      <c r="S285" s="64">
        <v>0.15</v>
      </c>
      <c r="T285" s="222" t="s">
        <v>1554</v>
      </c>
      <c r="U285" s="222" t="s">
        <v>1554</v>
      </c>
      <c r="V285" s="223">
        <v>16718.580000000002</v>
      </c>
      <c r="W285" s="223">
        <f t="shared" si="78"/>
        <v>232722.6336</v>
      </c>
      <c r="X285" s="223">
        <f t="shared" si="77"/>
        <v>232722.63</v>
      </c>
      <c r="Y285" s="224"/>
      <c r="Z285" s="167"/>
      <c r="AA285" s="3"/>
    </row>
    <row r="286" spans="1:27" s="33" customFormat="1" ht="93.75" x14ac:dyDescent="0.2">
      <c r="A286" s="41"/>
      <c r="B286" s="218">
        <v>272</v>
      </c>
      <c r="C286" s="218">
        <v>348102</v>
      </c>
      <c r="D286" s="218">
        <v>150100</v>
      </c>
      <c r="E286" s="227" t="s">
        <v>533</v>
      </c>
      <c r="F286" s="219" t="s">
        <v>1236</v>
      </c>
      <c r="G286" s="228" t="s">
        <v>638</v>
      </c>
      <c r="H286" s="228" t="s">
        <v>539</v>
      </c>
      <c r="I286" s="65" t="s">
        <v>199</v>
      </c>
      <c r="J286" s="59">
        <v>25000</v>
      </c>
      <c r="K286" s="60">
        <v>12</v>
      </c>
      <c r="L286" s="60">
        <v>742</v>
      </c>
      <c r="M286" s="60" t="s">
        <v>1430</v>
      </c>
      <c r="N286" s="61">
        <v>73844</v>
      </c>
      <c r="O286" s="62">
        <v>1412.02</v>
      </c>
      <c r="P286" s="59">
        <v>25000</v>
      </c>
      <c r="Q286" s="59">
        <f t="shared" si="72"/>
        <v>17.70513165535899</v>
      </c>
      <c r="R286" s="63" t="s">
        <v>1334</v>
      </c>
      <c r="S286" s="64" t="s">
        <v>16</v>
      </c>
      <c r="T286" s="232" t="s">
        <v>13</v>
      </c>
      <c r="U286" s="222" t="s">
        <v>1554</v>
      </c>
      <c r="V286" s="223">
        <v>25000</v>
      </c>
      <c r="W286" s="223">
        <f t="shared" si="78"/>
        <v>347999.99999999994</v>
      </c>
      <c r="X286" s="223">
        <f t="shared" si="77"/>
        <v>348000</v>
      </c>
      <c r="Y286" s="224"/>
      <c r="Z286" s="167"/>
      <c r="AA286" s="3"/>
    </row>
    <row r="287" spans="1:27" s="33" customFormat="1" ht="75" x14ac:dyDescent="0.2">
      <c r="A287" s="41"/>
      <c r="B287" s="218">
        <v>273</v>
      </c>
      <c r="C287" s="218">
        <v>349101</v>
      </c>
      <c r="D287" s="218">
        <v>900110</v>
      </c>
      <c r="E287" s="227" t="s">
        <v>533</v>
      </c>
      <c r="F287" s="219" t="s">
        <v>1237</v>
      </c>
      <c r="G287" s="228" t="s">
        <v>387</v>
      </c>
      <c r="H287" s="228" t="s">
        <v>540</v>
      </c>
      <c r="I287" s="65" t="s">
        <v>200</v>
      </c>
      <c r="J287" s="97">
        <v>27000</v>
      </c>
      <c r="K287" s="110">
        <v>9</v>
      </c>
      <c r="L287" s="110" t="s">
        <v>1231</v>
      </c>
      <c r="M287" s="110" t="s">
        <v>1519</v>
      </c>
      <c r="N287" s="111">
        <v>37333</v>
      </c>
      <c r="O287" s="62">
        <v>990</v>
      </c>
      <c r="P287" s="97">
        <v>18000</v>
      </c>
      <c r="Q287" s="97">
        <f t="shared" si="72"/>
        <v>18.181818181818183</v>
      </c>
      <c r="R287" s="63" t="s">
        <v>1334</v>
      </c>
      <c r="S287" s="109" t="s">
        <v>16</v>
      </c>
      <c r="T287" s="222" t="s">
        <v>1554</v>
      </c>
      <c r="U287" s="222" t="s">
        <v>1554</v>
      </c>
      <c r="V287" s="223">
        <v>18000</v>
      </c>
      <c r="W287" s="223">
        <f t="shared" si="78"/>
        <v>250560</v>
      </c>
      <c r="X287" s="223">
        <f t="shared" si="77"/>
        <v>250560</v>
      </c>
      <c r="Y287" s="224"/>
      <c r="Z287" s="167"/>
      <c r="AA287" s="3"/>
    </row>
    <row r="288" spans="1:27" s="33" customFormat="1" ht="75" x14ac:dyDescent="0.2">
      <c r="A288" s="41"/>
      <c r="B288" s="290">
        <v>274</v>
      </c>
      <c r="C288" s="290">
        <v>349001</v>
      </c>
      <c r="D288" s="290">
        <v>50100</v>
      </c>
      <c r="E288" s="297" t="s">
        <v>533</v>
      </c>
      <c r="F288" s="298" t="s">
        <v>1510</v>
      </c>
      <c r="G288" s="299" t="s">
        <v>1464</v>
      </c>
      <c r="H288" s="299" t="s">
        <v>1511</v>
      </c>
      <c r="I288" s="65" t="s">
        <v>1514</v>
      </c>
      <c r="J288" s="59">
        <v>11300</v>
      </c>
      <c r="K288" s="60" t="s">
        <v>16</v>
      </c>
      <c r="L288" s="60" t="s">
        <v>1515</v>
      </c>
      <c r="M288" s="143">
        <v>44195</v>
      </c>
      <c r="N288" s="61">
        <v>11300</v>
      </c>
      <c r="O288" s="144">
        <v>208</v>
      </c>
      <c r="P288" s="59">
        <v>11300</v>
      </c>
      <c r="Q288" s="59">
        <f t="shared" si="72"/>
        <v>54.32692307692308</v>
      </c>
      <c r="R288" s="63" t="s">
        <v>16</v>
      </c>
      <c r="S288" s="64" t="s">
        <v>16</v>
      </c>
      <c r="T288" s="294" t="s">
        <v>1554</v>
      </c>
      <c r="U288" s="294" t="s">
        <v>11</v>
      </c>
      <c r="V288" s="295">
        <v>11300</v>
      </c>
      <c r="W288" s="295">
        <f>+V288*12</f>
        <v>135600</v>
      </c>
      <c r="X288" s="295">
        <f>ROUND(+V288*1.15*12*1.16,2)</f>
        <v>180890.4</v>
      </c>
      <c r="Y288" s="296" t="s">
        <v>1566</v>
      </c>
      <c r="Z288" s="167">
        <f>SUM(X281:X288)</f>
        <v>2003342.17</v>
      </c>
      <c r="AA288" s="3"/>
    </row>
    <row r="289" spans="1:28" s="34" customFormat="1" ht="75" x14ac:dyDescent="0.2">
      <c r="A289" s="41"/>
      <c r="B289" s="218">
        <v>275</v>
      </c>
      <c r="C289" s="218">
        <v>362410</v>
      </c>
      <c r="D289" s="218">
        <v>200200</v>
      </c>
      <c r="E289" s="247" t="s">
        <v>399</v>
      </c>
      <c r="F289" s="226" t="s">
        <v>1234</v>
      </c>
      <c r="G289" s="220" t="s">
        <v>397</v>
      </c>
      <c r="H289" s="228" t="s">
        <v>867</v>
      </c>
      <c r="I289" s="117" t="s">
        <v>201</v>
      </c>
      <c r="J289" s="59">
        <v>62.35</v>
      </c>
      <c r="K289" s="60">
        <v>35</v>
      </c>
      <c r="L289" s="60">
        <v>6815</v>
      </c>
      <c r="M289" s="60" t="s">
        <v>1074</v>
      </c>
      <c r="N289" s="61">
        <v>56810</v>
      </c>
      <c r="O289" s="144">
        <v>331.31</v>
      </c>
      <c r="P289" s="59">
        <v>20000</v>
      </c>
      <c r="Q289" s="59">
        <f t="shared" si="72"/>
        <v>60.366424194862816</v>
      </c>
      <c r="R289" s="63">
        <v>2018</v>
      </c>
      <c r="S289" s="64">
        <v>0.1</v>
      </c>
      <c r="T289" s="232" t="s">
        <v>11</v>
      </c>
      <c r="U289" s="222" t="s">
        <v>1554</v>
      </c>
      <c r="V289" s="223">
        <f>23200/1.16</f>
        <v>20000</v>
      </c>
      <c r="W289" s="223">
        <f t="shared" ref="W289:W294" si="79">+V289*1.16*12</f>
        <v>278400</v>
      </c>
      <c r="X289" s="223">
        <f t="shared" ref="X289:X290" si="80">ROUND(+W289,2)</f>
        <v>278400</v>
      </c>
      <c r="Y289" s="224"/>
      <c r="Z289" s="167"/>
      <c r="AA289" s="19"/>
    </row>
    <row r="290" spans="1:28" s="34" customFormat="1" ht="75" x14ac:dyDescent="0.2">
      <c r="A290" s="41"/>
      <c r="B290" s="218">
        <v>276</v>
      </c>
      <c r="C290" s="218">
        <v>365302</v>
      </c>
      <c r="D290" s="218">
        <v>310203</v>
      </c>
      <c r="E290" s="227" t="s">
        <v>399</v>
      </c>
      <c r="F290" s="226" t="s">
        <v>783</v>
      </c>
      <c r="G290" s="220" t="s">
        <v>398</v>
      </c>
      <c r="H290" s="228" t="s">
        <v>1406</v>
      </c>
      <c r="I290" s="65" t="s">
        <v>141</v>
      </c>
      <c r="J290" s="59">
        <v>45000</v>
      </c>
      <c r="K290" s="60">
        <v>50</v>
      </c>
      <c r="L290" s="60">
        <v>8785</v>
      </c>
      <c r="M290" s="60" t="s">
        <v>1452</v>
      </c>
      <c r="N290" s="61">
        <v>1211335</v>
      </c>
      <c r="O290" s="62">
        <v>4192.92</v>
      </c>
      <c r="P290" s="59">
        <v>134952.72</v>
      </c>
      <c r="Q290" s="59">
        <f t="shared" si="72"/>
        <v>32.185856157522679</v>
      </c>
      <c r="R290" s="63">
        <v>2020</v>
      </c>
      <c r="S290" s="64">
        <v>0.25</v>
      </c>
      <c r="T290" s="232" t="s">
        <v>13</v>
      </c>
      <c r="U290" s="222" t="s">
        <v>1554</v>
      </c>
      <c r="V290" s="223">
        <f>156545.16/1.16</f>
        <v>134952.72413793104</v>
      </c>
      <c r="W290" s="223">
        <f t="shared" si="79"/>
        <v>1878541.92</v>
      </c>
      <c r="X290" s="223">
        <f t="shared" si="80"/>
        <v>1878541.92</v>
      </c>
      <c r="Y290" s="224"/>
      <c r="Z290" s="167">
        <f>+X290+X289</f>
        <v>2156941.92</v>
      </c>
      <c r="AA290" s="19"/>
    </row>
    <row r="291" spans="1:28" s="34" customFormat="1" ht="93.75" x14ac:dyDescent="0.2">
      <c r="A291" s="41"/>
      <c r="B291" s="290">
        <v>277</v>
      </c>
      <c r="C291" s="290">
        <v>379001</v>
      </c>
      <c r="D291" s="290">
        <v>100100</v>
      </c>
      <c r="E291" s="297" t="s">
        <v>547</v>
      </c>
      <c r="F291" s="291" t="s">
        <v>1461</v>
      </c>
      <c r="G291" s="299" t="s">
        <v>623</v>
      </c>
      <c r="H291" s="299" t="s">
        <v>609</v>
      </c>
      <c r="I291" s="65" t="s">
        <v>890</v>
      </c>
      <c r="J291" s="59">
        <v>2546217.2999999998</v>
      </c>
      <c r="K291" s="60">
        <v>3</v>
      </c>
      <c r="L291" s="60" t="s">
        <v>1180</v>
      </c>
      <c r="M291" s="60" t="s">
        <v>1181</v>
      </c>
      <c r="N291" s="60" t="s">
        <v>1182</v>
      </c>
      <c r="O291" s="145">
        <v>7781.92</v>
      </c>
      <c r="P291" s="59">
        <v>2335976.7400000002</v>
      </c>
      <c r="Q291" s="59">
        <f t="shared" si="72"/>
        <v>300.1799992803833</v>
      </c>
      <c r="R291" s="63" t="s">
        <v>16</v>
      </c>
      <c r="S291" s="64" t="s">
        <v>16</v>
      </c>
      <c r="T291" s="294" t="s">
        <v>1554</v>
      </c>
      <c r="U291" s="300" t="s">
        <v>11</v>
      </c>
      <c r="V291" s="295">
        <v>2335976.7400000002</v>
      </c>
      <c r="W291" s="295">
        <f t="shared" si="79"/>
        <v>32516796.220799997</v>
      </c>
      <c r="X291" s="295">
        <f>ROUND(+V291*1.15*12*1.16,2)</f>
        <v>37394315.649999999</v>
      </c>
      <c r="Y291" s="296" t="s">
        <v>1566</v>
      </c>
      <c r="Z291" s="167"/>
      <c r="AA291" s="19"/>
    </row>
    <row r="292" spans="1:28" s="34" customFormat="1" ht="93.75" x14ac:dyDescent="0.2">
      <c r="A292" s="41"/>
      <c r="B292" s="262">
        <v>278</v>
      </c>
      <c r="C292" s="262">
        <v>379103</v>
      </c>
      <c r="D292" s="262">
        <v>900110</v>
      </c>
      <c r="E292" s="269" t="s">
        <v>547</v>
      </c>
      <c r="F292" s="263" t="s">
        <v>1462</v>
      </c>
      <c r="G292" s="271" t="s">
        <v>632</v>
      </c>
      <c r="H292" s="271" t="s">
        <v>1460</v>
      </c>
      <c r="I292" s="65" t="s">
        <v>891</v>
      </c>
      <c r="J292" s="59">
        <v>1387340</v>
      </c>
      <c r="K292" s="60">
        <v>3</v>
      </c>
      <c r="L292" s="60">
        <v>6568</v>
      </c>
      <c r="M292" s="60" t="s">
        <v>1183</v>
      </c>
      <c r="N292" s="61">
        <v>1387340</v>
      </c>
      <c r="O292" s="62">
        <v>7020.24</v>
      </c>
      <c r="P292" s="59">
        <v>1387340</v>
      </c>
      <c r="Q292" s="59">
        <f t="shared" si="72"/>
        <v>197.62002438663066</v>
      </c>
      <c r="R292" s="63" t="s">
        <v>16</v>
      </c>
      <c r="S292" s="64" t="s">
        <v>16</v>
      </c>
      <c r="T292" s="272" t="s">
        <v>13</v>
      </c>
      <c r="U292" s="272" t="s">
        <v>13</v>
      </c>
      <c r="V292" s="267">
        <v>1387340</v>
      </c>
      <c r="W292" s="267">
        <f t="shared" si="79"/>
        <v>19311772.799999997</v>
      </c>
      <c r="X292" s="267">
        <f t="shared" ref="X292:X294" si="81">ROUND(+V292*1.16*12*1.1,2)</f>
        <v>21242950.079999998</v>
      </c>
      <c r="Y292" s="268" t="s">
        <v>1567</v>
      </c>
      <c r="Z292" s="167"/>
      <c r="AA292" s="19"/>
    </row>
    <row r="293" spans="1:28" s="34" customFormat="1" ht="93.75" x14ac:dyDescent="0.2">
      <c r="A293" s="41"/>
      <c r="B293" s="262">
        <v>279</v>
      </c>
      <c r="C293" s="262">
        <v>389001</v>
      </c>
      <c r="D293" s="262">
        <v>100100</v>
      </c>
      <c r="E293" s="269" t="s">
        <v>547</v>
      </c>
      <c r="F293" s="263" t="s">
        <v>1233</v>
      </c>
      <c r="G293" s="271" t="s">
        <v>633</v>
      </c>
      <c r="H293" s="271" t="s">
        <v>643</v>
      </c>
      <c r="I293" s="65" t="s">
        <v>644</v>
      </c>
      <c r="J293" s="59">
        <v>863397</v>
      </c>
      <c r="K293" s="60">
        <v>4</v>
      </c>
      <c r="L293" s="60" t="s">
        <v>1184</v>
      </c>
      <c r="M293" s="60" t="s">
        <v>1185</v>
      </c>
      <c r="N293" s="60" t="s">
        <v>1186</v>
      </c>
      <c r="O293" s="62">
        <v>3837.32</v>
      </c>
      <c r="P293" s="59">
        <v>1884557.25</v>
      </c>
      <c r="Q293" s="59">
        <f t="shared" si="72"/>
        <v>491.11287304681389</v>
      </c>
      <c r="R293" s="63" t="s">
        <v>16</v>
      </c>
      <c r="S293" s="64" t="s">
        <v>16</v>
      </c>
      <c r="T293" s="266" t="s">
        <v>1554</v>
      </c>
      <c r="U293" s="272" t="s">
        <v>13</v>
      </c>
      <c r="V293" s="267">
        <v>1884557.25</v>
      </c>
      <c r="W293" s="267">
        <f t="shared" si="79"/>
        <v>26233036.919999994</v>
      </c>
      <c r="X293" s="267">
        <f t="shared" si="81"/>
        <v>28856340.609999999</v>
      </c>
      <c r="Y293" s="268" t="s">
        <v>1567</v>
      </c>
      <c r="Z293" s="167"/>
      <c r="AA293" s="19"/>
    </row>
    <row r="294" spans="1:28" s="34" customFormat="1" ht="75" x14ac:dyDescent="0.2">
      <c r="A294" s="41"/>
      <c r="B294" s="262">
        <v>280</v>
      </c>
      <c r="C294" s="262">
        <v>375301</v>
      </c>
      <c r="D294" s="262">
        <v>310203</v>
      </c>
      <c r="E294" s="269" t="s">
        <v>547</v>
      </c>
      <c r="F294" s="263" t="s">
        <v>1235</v>
      </c>
      <c r="G294" s="271" t="s">
        <v>292</v>
      </c>
      <c r="H294" s="271" t="s">
        <v>485</v>
      </c>
      <c r="I294" s="146" t="s">
        <v>1409</v>
      </c>
      <c r="J294" s="124">
        <v>68000</v>
      </c>
      <c r="K294" s="60">
        <v>5</v>
      </c>
      <c r="L294" s="60">
        <v>4717</v>
      </c>
      <c r="M294" s="60" t="s">
        <v>1187</v>
      </c>
      <c r="N294" s="61">
        <v>90477</v>
      </c>
      <c r="O294" s="147">
        <v>900</v>
      </c>
      <c r="P294" s="59">
        <v>68000</v>
      </c>
      <c r="Q294" s="59">
        <f t="shared" si="72"/>
        <v>75.555555555555557</v>
      </c>
      <c r="R294" s="72" t="s">
        <v>16</v>
      </c>
      <c r="S294" s="64" t="s">
        <v>16</v>
      </c>
      <c r="T294" s="272" t="s">
        <v>13</v>
      </c>
      <c r="U294" s="272" t="s">
        <v>13</v>
      </c>
      <c r="V294" s="267">
        <v>68000</v>
      </c>
      <c r="W294" s="267">
        <f t="shared" si="79"/>
        <v>946560</v>
      </c>
      <c r="X294" s="267">
        <f t="shared" si="81"/>
        <v>1041216</v>
      </c>
      <c r="Y294" s="268" t="s">
        <v>1567</v>
      </c>
      <c r="Z294" s="167"/>
      <c r="AA294" s="19"/>
    </row>
    <row r="295" spans="1:28" s="34" customFormat="1" ht="93.75" x14ac:dyDescent="0.2">
      <c r="A295" s="41"/>
      <c r="B295" s="218">
        <v>281</v>
      </c>
      <c r="C295" s="249">
        <v>379001</v>
      </c>
      <c r="D295" s="249">
        <v>50100</v>
      </c>
      <c r="E295" s="227" t="s">
        <v>547</v>
      </c>
      <c r="F295" s="219" t="s">
        <v>1503</v>
      </c>
      <c r="G295" s="228" t="s">
        <v>1464</v>
      </c>
      <c r="H295" s="228" t="s">
        <v>1504</v>
      </c>
      <c r="I295" s="146" t="s">
        <v>1501</v>
      </c>
      <c r="J295" s="131">
        <v>22500</v>
      </c>
      <c r="K295" s="110" t="s">
        <v>16</v>
      </c>
      <c r="L295" s="110">
        <v>9073</v>
      </c>
      <c r="M295" s="110" t="s">
        <v>1505</v>
      </c>
      <c r="N295" s="111">
        <v>31100</v>
      </c>
      <c r="O295" s="148">
        <v>92.34</v>
      </c>
      <c r="P295" s="97">
        <v>22500</v>
      </c>
      <c r="Q295" s="97">
        <f t="shared" si="72"/>
        <v>243.66471734892787</v>
      </c>
      <c r="R295" s="166" t="s">
        <v>16</v>
      </c>
      <c r="S295" s="109" t="s">
        <v>16</v>
      </c>
      <c r="T295" s="250" t="s">
        <v>1554</v>
      </c>
      <c r="U295" s="250" t="s">
        <v>1554</v>
      </c>
      <c r="V295" s="251">
        <v>22500</v>
      </c>
      <c r="W295" s="251">
        <f>+V295*12</f>
        <v>270000</v>
      </c>
      <c r="X295" s="223">
        <f>ROUND(+W295,2)</f>
        <v>270000</v>
      </c>
      <c r="Y295" s="252"/>
      <c r="Z295" s="167">
        <f>SUM(X291:X295)</f>
        <v>88804822.340000004</v>
      </c>
      <c r="AA295" s="19"/>
    </row>
    <row r="296" spans="1:28" s="3" customFormat="1" ht="20.25" x14ac:dyDescent="0.2">
      <c r="A296" s="40"/>
      <c r="B296" s="154"/>
      <c r="C296" s="149"/>
      <c r="D296" s="149"/>
      <c r="E296" s="155"/>
      <c r="F296" s="155"/>
      <c r="G296" s="156"/>
      <c r="H296" s="156"/>
      <c r="I296" s="157"/>
      <c r="J296" s="157"/>
      <c r="K296" s="157"/>
      <c r="L296" s="157"/>
      <c r="M296" s="157"/>
      <c r="N296" s="157"/>
      <c r="O296" s="158">
        <f>SUM(O15:O295)</f>
        <v>349338.64999999991</v>
      </c>
      <c r="P296" s="159">
        <f>SUM(P15:P295)</f>
        <v>24513149.579999998</v>
      </c>
      <c r="Q296" s="160"/>
      <c r="R296" s="157"/>
      <c r="S296" s="157"/>
      <c r="T296" s="161"/>
      <c r="U296" s="161"/>
      <c r="V296" s="168"/>
      <c r="W296" s="170" t="s">
        <v>1587</v>
      </c>
      <c r="X296" s="170">
        <f>SUM(X15:X295)</f>
        <v>364765514.35600001</v>
      </c>
      <c r="Y296" s="169"/>
      <c r="Z296" s="170">
        <f>SUM(Z15:Z295)</f>
        <v>364765514.35600007</v>
      </c>
    </row>
    <row r="297" spans="1:28" x14ac:dyDescent="0.2">
      <c r="B297" s="154"/>
      <c r="C297" s="149"/>
      <c r="D297" s="149"/>
      <c r="E297" s="162"/>
      <c r="F297" s="163"/>
      <c r="G297" s="163"/>
      <c r="H297" s="163"/>
      <c r="I297" s="164"/>
      <c r="J297" s="164"/>
      <c r="K297" s="164"/>
      <c r="L297" s="164"/>
      <c r="M297" s="164"/>
      <c r="N297" s="164"/>
      <c r="O297" s="165"/>
      <c r="P297" s="163"/>
      <c r="Q297" s="164"/>
      <c r="R297" s="164"/>
      <c r="S297" s="164"/>
      <c r="T297" s="161"/>
      <c r="U297" s="161"/>
      <c r="V297" s="168"/>
      <c r="W297" s="168"/>
      <c r="X297" s="168"/>
      <c r="Y297" s="169"/>
    </row>
    <row r="298" spans="1:28" ht="36" x14ac:dyDescent="0.35">
      <c r="B298" s="384" t="s">
        <v>1588</v>
      </c>
      <c r="C298" s="385"/>
      <c r="D298" s="385"/>
      <c r="E298" s="386"/>
      <c r="F298" s="387"/>
      <c r="G298" s="387"/>
      <c r="H298" s="387"/>
      <c r="I298" s="388"/>
      <c r="J298" s="389"/>
      <c r="K298" s="388"/>
      <c r="L298" s="388"/>
      <c r="M298" s="388"/>
      <c r="N298" s="388"/>
      <c r="O298" s="390"/>
      <c r="P298" s="387"/>
      <c r="Q298" s="388"/>
      <c r="R298" s="388"/>
      <c r="S298" s="388"/>
      <c r="T298" s="382"/>
      <c r="U298" s="382"/>
      <c r="V298" s="391"/>
      <c r="W298" s="391"/>
      <c r="X298" s="391"/>
      <c r="Y298" s="392" t="s">
        <v>1589</v>
      </c>
    </row>
    <row r="299" spans="1:28" ht="67.5" customHeight="1" x14ac:dyDescent="0.2">
      <c r="B299" s="330">
        <v>1</v>
      </c>
      <c r="C299" s="330"/>
      <c r="D299" s="330"/>
      <c r="E299" s="330" t="s">
        <v>273</v>
      </c>
      <c r="F299" s="330" t="s">
        <v>1590</v>
      </c>
      <c r="G299" s="339" t="s">
        <v>574</v>
      </c>
      <c r="H299" s="330"/>
      <c r="I299" s="341"/>
      <c r="J299" s="126"/>
      <c r="K299" s="126"/>
      <c r="L299" s="126"/>
      <c r="M299" s="126"/>
      <c r="N299" s="126"/>
      <c r="O299" s="126"/>
      <c r="P299" s="126"/>
      <c r="Q299" s="126"/>
      <c r="R299" s="126"/>
      <c r="S299" s="126"/>
      <c r="T299" s="330"/>
      <c r="U299" s="261" t="s">
        <v>52</v>
      </c>
      <c r="V299" s="332"/>
      <c r="W299" s="333">
        <v>80000</v>
      </c>
      <c r="X299" s="333">
        <f>+W299*1.16*12</f>
        <v>1113600</v>
      </c>
      <c r="Y299" s="334">
        <f>+X299</f>
        <v>1113600</v>
      </c>
      <c r="AB299" s="342"/>
    </row>
    <row r="300" spans="1:28" ht="63" customHeight="1" x14ac:dyDescent="0.2">
      <c r="B300" s="330">
        <v>2</v>
      </c>
      <c r="C300" s="330"/>
      <c r="D300" s="330"/>
      <c r="E300" s="330" t="s">
        <v>294</v>
      </c>
      <c r="F300" s="330" t="s">
        <v>1569</v>
      </c>
      <c r="G300" s="339" t="s">
        <v>262</v>
      </c>
      <c r="H300" s="340"/>
      <c r="I300" s="341"/>
      <c r="J300" s="126"/>
      <c r="K300" s="126"/>
      <c r="L300" s="126"/>
      <c r="M300" s="126"/>
      <c r="N300" s="126"/>
      <c r="O300" s="126"/>
      <c r="P300" s="126"/>
      <c r="Q300" s="126"/>
      <c r="R300" s="126"/>
      <c r="S300" s="126"/>
      <c r="T300" s="330"/>
      <c r="U300" s="261" t="s">
        <v>52</v>
      </c>
      <c r="V300" s="332"/>
      <c r="W300" s="333">
        <v>1103581.71</v>
      </c>
      <c r="X300" s="333">
        <f>1103581.71*1.16*12</f>
        <v>15361857.403200001</v>
      </c>
      <c r="Y300" s="334">
        <v>10665786.730976</v>
      </c>
    </row>
    <row r="301" spans="1:28" s="344" customFormat="1" ht="54" x14ac:dyDescent="0.2">
      <c r="A301" s="343"/>
      <c r="B301" s="330">
        <v>3</v>
      </c>
      <c r="C301" s="331"/>
      <c r="D301" s="331"/>
      <c r="E301" s="258" t="s">
        <v>400</v>
      </c>
      <c r="F301" s="254" t="s">
        <v>1591</v>
      </c>
      <c r="G301" s="260" t="s">
        <v>1592</v>
      </c>
      <c r="H301" s="255"/>
      <c r="I301" s="73"/>
      <c r="J301" s="59"/>
      <c r="K301" s="60"/>
      <c r="L301" s="60"/>
      <c r="M301" s="60"/>
      <c r="N301" s="61"/>
      <c r="O301" s="62"/>
      <c r="P301" s="59"/>
      <c r="Q301" s="59"/>
      <c r="R301" s="63"/>
      <c r="S301" s="109"/>
      <c r="T301" s="261"/>
      <c r="U301" s="261" t="s">
        <v>52</v>
      </c>
      <c r="V301" s="257"/>
      <c r="W301" s="257"/>
      <c r="X301" s="257"/>
      <c r="Y301" s="257">
        <f>950*1.16*101.95*12</f>
        <v>1348186.8</v>
      </c>
      <c r="AA301" s="19"/>
      <c r="AB301" s="353"/>
    </row>
    <row r="302" spans="1:28" ht="42" customHeight="1" x14ac:dyDescent="0.2">
      <c r="B302" s="330">
        <v>4</v>
      </c>
      <c r="C302" s="331"/>
      <c r="D302" s="331"/>
      <c r="E302" s="258" t="s">
        <v>400</v>
      </c>
      <c r="F302" s="259" t="s">
        <v>1568</v>
      </c>
      <c r="G302" s="260" t="s">
        <v>1559</v>
      </c>
      <c r="H302" s="260"/>
      <c r="I302" s="65"/>
      <c r="J302" s="59"/>
      <c r="K302" s="60"/>
      <c r="L302" s="60"/>
      <c r="M302" s="60"/>
      <c r="N302" s="61"/>
      <c r="O302" s="62"/>
      <c r="P302" s="59"/>
      <c r="Q302" s="59"/>
      <c r="R302" s="63"/>
      <c r="S302" s="64"/>
      <c r="T302" s="256"/>
      <c r="U302" s="261" t="s">
        <v>52</v>
      </c>
      <c r="V302" s="257"/>
      <c r="W302" s="333">
        <v>150000</v>
      </c>
      <c r="X302" s="257">
        <f>+W302*1.16*12</f>
        <v>2088000</v>
      </c>
      <c r="Y302" s="257">
        <v>1767557.9814239417</v>
      </c>
      <c r="AB302" s="1"/>
    </row>
    <row r="303" spans="1:28" ht="42.75" customHeight="1" x14ac:dyDescent="0.2">
      <c r="B303" s="330">
        <v>5</v>
      </c>
      <c r="C303" s="331"/>
      <c r="D303" s="331"/>
      <c r="E303" s="258" t="s">
        <v>400</v>
      </c>
      <c r="F303" s="259" t="s">
        <v>1578</v>
      </c>
      <c r="G303" s="260" t="s">
        <v>1558</v>
      </c>
      <c r="H303" s="260"/>
      <c r="I303" s="65"/>
      <c r="J303" s="59"/>
      <c r="K303" s="60"/>
      <c r="L303" s="60"/>
      <c r="M303" s="60"/>
      <c r="N303" s="61"/>
      <c r="O303" s="62"/>
      <c r="P303" s="59"/>
      <c r="Q303" s="59"/>
      <c r="R303" s="63"/>
      <c r="S303" s="64"/>
      <c r="T303" s="256"/>
      <c r="U303" s="261" t="s">
        <v>52</v>
      </c>
      <c r="V303" s="257"/>
      <c r="W303" s="257">
        <v>120000</v>
      </c>
      <c r="X303" s="257">
        <f>+W303*12*1.16</f>
        <v>1670400</v>
      </c>
      <c r="Y303" s="257">
        <f>125.54*1.16*632*12</f>
        <v>1104430.6176</v>
      </c>
      <c r="AB303" s="1"/>
    </row>
    <row r="304" spans="1:28" ht="68.25" customHeight="1" x14ac:dyDescent="0.2">
      <c r="B304" s="330">
        <v>6</v>
      </c>
      <c r="C304" s="331"/>
      <c r="D304" s="331"/>
      <c r="E304" s="258" t="s">
        <v>405</v>
      </c>
      <c r="F304" s="259" t="s">
        <v>1570</v>
      </c>
      <c r="G304" s="260" t="s">
        <v>1571</v>
      </c>
      <c r="H304" s="260"/>
      <c r="I304" s="65"/>
      <c r="J304" s="59"/>
      <c r="K304" s="60"/>
      <c r="L304" s="60"/>
      <c r="M304" s="60"/>
      <c r="N304" s="61"/>
      <c r="O304" s="62"/>
      <c r="P304" s="59"/>
      <c r="Q304" s="59"/>
      <c r="R304" s="63"/>
      <c r="S304" s="64"/>
      <c r="T304" s="256"/>
      <c r="U304" s="261" t="s">
        <v>52</v>
      </c>
      <c r="V304" s="257"/>
      <c r="W304" s="257">
        <v>80000</v>
      </c>
      <c r="X304" s="257">
        <f>+W304*12*1.16</f>
        <v>1113600</v>
      </c>
      <c r="Y304" s="257">
        <f>56*1000*1.16*12</f>
        <v>779519.99999999988</v>
      </c>
    </row>
    <row r="305" spans="2:28" ht="39" customHeight="1" x14ac:dyDescent="0.2">
      <c r="B305" s="330">
        <v>7</v>
      </c>
      <c r="C305" s="331"/>
      <c r="D305" s="331"/>
      <c r="E305" s="258" t="s">
        <v>423</v>
      </c>
      <c r="F305" s="259" t="s">
        <v>1574</v>
      </c>
      <c r="G305" s="260" t="s">
        <v>387</v>
      </c>
      <c r="H305" s="260"/>
      <c r="I305" s="65"/>
      <c r="J305" s="59"/>
      <c r="K305" s="60"/>
      <c r="L305" s="60"/>
      <c r="M305" s="60"/>
      <c r="N305" s="61"/>
      <c r="O305" s="62"/>
      <c r="P305" s="59"/>
      <c r="Q305" s="59"/>
      <c r="R305" s="63"/>
      <c r="S305" s="64"/>
      <c r="T305" s="256"/>
      <c r="U305" s="261" t="s">
        <v>52</v>
      </c>
      <c r="V305" s="257"/>
      <c r="W305" s="257">
        <v>80000</v>
      </c>
      <c r="X305" s="257">
        <f>+W305*12*1.16</f>
        <v>1113600</v>
      </c>
      <c r="Y305" s="257">
        <v>1113600</v>
      </c>
    </row>
    <row r="306" spans="2:28" ht="45" customHeight="1" x14ac:dyDescent="0.2">
      <c r="B306" s="330">
        <v>8</v>
      </c>
      <c r="C306" s="331"/>
      <c r="D306" s="331"/>
      <c r="E306" s="258" t="s">
        <v>423</v>
      </c>
      <c r="F306" s="259" t="s">
        <v>1574</v>
      </c>
      <c r="G306" s="260" t="s">
        <v>1575</v>
      </c>
      <c r="H306" s="260"/>
      <c r="I306" s="65"/>
      <c r="J306" s="59"/>
      <c r="K306" s="60"/>
      <c r="L306" s="60"/>
      <c r="M306" s="60"/>
      <c r="N306" s="61"/>
      <c r="O306" s="62"/>
      <c r="P306" s="59"/>
      <c r="Q306" s="59"/>
      <c r="R306" s="63"/>
      <c r="S306" s="64"/>
      <c r="T306" s="256"/>
      <c r="U306" s="261" t="s">
        <v>52</v>
      </c>
      <c r="V306" s="257"/>
      <c r="W306" s="257">
        <v>60000</v>
      </c>
      <c r="X306" s="257">
        <f>+W306*12*1.16</f>
        <v>835200</v>
      </c>
      <c r="Y306" s="257">
        <v>835200</v>
      </c>
    </row>
    <row r="307" spans="2:28" ht="65.25" customHeight="1" x14ac:dyDescent="0.2">
      <c r="B307" s="330">
        <v>9</v>
      </c>
      <c r="C307" s="331"/>
      <c r="D307" s="331"/>
      <c r="E307" s="258" t="s">
        <v>442</v>
      </c>
      <c r="F307" s="259" t="s">
        <v>1603</v>
      </c>
      <c r="G307" s="260" t="s">
        <v>1572</v>
      </c>
      <c r="H307" s="260"/>
      <c r="I307" s="65"/>
      <c r="J307" s="59"/>
      <c r="K307" s="60"/>
      <c r="L307" s="60"/>
      <c r="M307" s="60"/>
      <c r="N307" s="61"/>
      <c r="O307" s="62"/>
      <c r="P307" s="59"/>
      <c r="Q307" s="59"/>
      <c r="R307" s="63"/>
      <c r="S307" s="64"/>
      <c r="T307" s="256"/>
      <c r="U307" s="261" t="s">
        <v>52</v>
      </c>
      <c r="V307" s="257"/>
      <c r="W307" s="257">
        <v>155290</v>
      </c>
      <c r="X307" s="257">
        <f>+W307*12*1.16</f>
        <v>2161636.7999999998</v>
      </c>
      <c r="Y307" s="257">
        <v>2161636.7999999998</v>
      </c>
    </row>
    <row r="308" spans="2:28" ht="54" x14ac:dyDescent="0.2">
      <c r="B308" s="330">
        <v>10</v>
      </c>
      <c r="C308" s="253"/>
      <c r="D308" s="253"/>
      <c r="E308" s="258" t="s">
        <v>486</v>
      </c>
      <c r="F308" s="254" t="s">
        <v>1560</v>
      </c>
      <c r="G308" s="260" t="s">
        <v>1561</v>
      </c>
      <c r="H308" s="260"/>
      <c r="I308" s="65"/>
      <c r="J308" s="59"/>
      <c r="K308" s="60"/>
      <c r="L308" s="150"/>
      <c r="M308" s="151"/>
      <c r="N308" s="124"/>
      <c r="O308" s="62"/>
      <c r="P308" s="59"/>
      <c r="Q308" s="59"/>
      <c r="R308" s="63"/>
      <c r="S308" s="128"/>
      <c r="T308" s="256"/>
      <c r="U308" s="261" t="s">
        <v>52</v>
      </c>
      <c r="V308" s="257"/>
      <c r="W308" s="333">
        <v>10000</v>
      </c>
      <c r="X308" s="257">
        <f>10000*1.16*12</f>
        <v>139200</v>
      </c>
      <c r="Y308" s="257">
        <v>139200</v>
      </c>
      <c r="AB308" s="345"/>
    </row>
    <row r="309" spans="2:28" ht="49.5" customHeight="1" x14ac:dyDescent="0.2">
      <c r="B309" s="330">
        <v>11</v>
      </c>
      <c r="C309" s="331"/>
      <c r="D309" s="253"/>
      <c r="E309" s="330" t="s">
        <v>533</v>
      </c>
      <c r="F309" s="259" t="s">
        <v>1563</v>
      </c>
      <c r="G309" s="260" t="s">
        <v>261</v>
      </c>
      <c r="H309" s="260"/>
      <c r="I309" s="117"/>
      <c r="J309" s="59"/>
      <c r="K309" s="60"/>
      <c r="L309" s="60"/>
      <c r="M309" s="152"/>
      <c r="N309" s="61"/>
      <c r="O309" s="144"/>
      <c r="P309" s="59"/>
      <c r="Q309" s="59"/>
      <c r="R309" s="63"/>
      <c r="S309" s="64"/>
      <c r="T309" s="256"/>
      <c r="U309" s="261" t="s">
        <v>52</v>
      </c>
      <c r="V309" s="257"/>
      <c r="W309" s="333">
        <v>8000.0000000000009</v>
      </c>
      <c r="X309" s="257">
        <f>8000*1.16*12</f>
        <v>111360</v>
      </c>
      <c r="Y309" s="257">
        <v>111360</v>
      </c>
    </row>
    <row r="310" spans="2:28" x14ac:dyDescent="0.25">
      <c r="V310" s="153"/>
      <c r="W310" s="171" t="s">
        <v>1587</v>
      </c>
      <c r="X310" s="171">
        <f>SUM(X299:X309)</f>
        <v>25708454.203200001</v>
      </c>
      <c r="Y310" s="171">
        <f>SUM(Y299:Y309)</f>
        <v>21140078.929999944</v>
      </c>
    </row>
    <row r="311" spans="2:28" ht="19.5" x14ac:dyDescent="0.25">
      <c r="B311" s="338" t="s">
        <v>1602</v>
      </c>
      <c r="C311" s="381"/>
      <c r="T311" s="382"/>
      <c r="U311" s="382"/>
      <c r="V311" s="383"/>
      <c r="W311" s="380"/>
      <c r="X311" s="380"/>
      <c r="Y311" s="380"/>
    </row>
    <row r="312" spans="2:28" ht="75" x14ac:dyDescent="0.2">
      <c r="B312" s="253">
        <f>+B300+1</f>
        <v>3</v>
      </c>
      <c r="C312" s="331"/>
      <c r="D312" s="331"/>
      <c r="E312" s="258" t="s">
        <v>330</v>
      </c>
      <c r="F312" s="254" t="s">
        <v>1556</v>
      </c>
      <c r="G312" s="260" t="s">
        <v>1557</v>
      </c>
      <c r="H312" s="255"/>
      <c r="I312" s="73"/>
      <c r="J312" s="59"/>
      <c r="K312" s="60"/>
      <c r="L312" s="60"/>
      <c r="M312" s="60"/>
      <c r="N312" s="61"/>
      <c r="O312" s="62"/>
      <c r="P312" s="59"/>
      <c r="Q312" s="59"/>
      <c r="R312" s="63"/>
      <c r="S312" s="109"/>
      <c r="T312" s="261"/>
      <c r="U312" s="261" t="s">
        <v>1604</v>
      </c>
      <c r="V312" s="257"/>
      <c r="W312" s="257">
        <v>11400</v>
      </c>
      <c r="X312" s="257">
        <f>+W312*12</f>
        <v>136800</v>
      </c>
      <c r="Y312" s="257">
        <v>136800</v>
      </c>
    </row>
    <row r="313" spans="2:28" ht="75" x14ac:dyDescent="0.2">
      <c r="B313" s="253">
        <f>+B307+1</f>
        <v>10</v>
      </c>
      <c r="C313" s="331"/>
      <c r="D313" s="331"/>
      <c r="E313" s="258" t="s">
        <v>517</v>
      </c>
      <c r="F313" s="259" t="s">
        <v>1573</v>
      </c>
      <c r="G313" s="260" t="s">
        <v>1557</v>
      </c>
      <c r="H313" s="260"/>
      <c r="I313" s="65"/>
      <c r="J313" s="59"/>
      <c r="K313" s="60"/>
      <c r="L313" s="60"/>
      <c r="M313" s="60"/>
      <c r="N313" s="61"/>
      <c r="O313" s="62"/>
      <c r="P313" s="59"/>
      <c r="Q313" s="59"/>
      <c r="R313" s="63"/>
      <c r="S313" s="64"/>
      <c r="T313" s="256"/>
      <c r="U313" s="261" t="s">
        <v>1604</v>
      </c>
      <c r="V313" s="257"/>
      <c r="W313" s="257">
        <v>10889</v>
      </c>
      <c r="X313" s="257">
        <f>+W313*12</f>
        <v>130668</v>
      </c>
      <c r="Y313" s="257">
        <v>130668</v>
      </c>
    </row>
    <row r="314" spans="2:28" ht="75" x14ac:dyDescent="0.2">
      <c r="B314" s="253">
        <f>+B308+1</f>
        <v>11</v>
      </c>
      <c r="C314" s="253"/>
      <c r="D314" s="253"/>
      <c r="E314" s="258" t="s">
        <v>486</v>
      </c>
      <c r="F314" s="254" t="s">
        <v>1562</v>
      </c>
      <c r="G314" s="260" t="s">
        <v>1557</v>
      </c>
      <c r="H314" s="260"/>
      <c r="I314" s="65"/>
      <c r="J314" s="59"/>
      <c r="K314" s="60"/>
      <c r="L314" s="150"/>
      <c r="M314" s="151"/>
      <c r="N314" s="124"/>
      <c r="O314" s="62"/>
      <c r="P314" s="59"/>
      <c r="Q314" s="59"/>
      <c r="R314" s="63"/>
      <c r="S314" s="128"/>
      <c r="T314" s="256"/>
      <c r="U314" s="261" t="s">
        <v>1604</v>
      </c>
      <c r="V314" s="257"/>
      <c r="W314" s="333">
        <v>20000</v>
      </c>
      <c r="X314" s="257">
        <f>20000*12</f>
        <v>240000</v>
      </c>
      <c r="Y314" s="257">
        <v>240000</v>
      </c>
    </row>
    <row r="315" spans="2:28" x14ac:dyDescent="0.25">
      <c r="V315" s="153"/>
      <c r="W315" s="171" t="s">
        <v>1587</v>
      </c>
      <c r="X315" s="171">
        <f>+X312+X313+X314</f>
        <v>507468</v>
      </c>
      <c r="Y315" s="171">
        <f>+Y312+Y313+Y314</f>
        <v>507468</v>
      </c>
    </row>
    <row r="316" spans="2:28" x14ac:dyDescent="0.25">
      <c r="V316" s="153"/>
      <c r="W316" s="171" t="s">
        <v>1601</v>
      </c>
      <c r="X316" s="171">
        <f>+X296+X310+X315</f>
        <v>390981436.55919999</v>
      </c>
      <c r="Y316" s="171">
        <f>+X296+Y310+Y315</f>
        <v>386413061.28599995</v>
      </c>
    </row>
    <row r="317" spans="2:28" x14ac:dyDescent="0.2">
      <c r="V317" s="153"/>
      <c r="W317" s="153"/>
      <c r="X317" s="153"/>
      <c r="Y317" s="153"/>
    </row>
    <row r="318" spans="2:28" x14ac:dyDescent="0.2">
      <c r="V318" s="153"/>
      <c r="W318" s="153"/>
      <c r="X318" s="153"/>
      <c r="Y318" s="153"/>
    </row>
    <row r="319" spans="2:28" x14ac:dyDescent="0.2">
      <c r="V319" s="153"/>
      <c r="W319" s="153"/>
      <c r="X319" s="153"/>
      <c r="Y319" s="153"/>
    </row>
    <row r="320" spans="2:28" x14ac:dyDescent="0.2">
      <c r="V320" s="153"/>
      <c r="W320" s="153"/>
      <c r="X320" s="153"/>
      <c r="Y320" s="153"/>
    </row>
    <row r="321" spans="22:25" x14ac:dyDescent="0.2">
      <c r="V321" s="153"/>
      <c r="W321" s="153"/>
      <c r="X321" s="153"/>
      <c r="Y321" s="153"/>
    </row>
    <row r="322" spans="22:25" x14ac:dyDescent="0.2">
      <c r="V322" s="153"/>
      <c r="W322" s="153"/>
      <c r="X322" s="153"/>
      <c r="Y322" s="153"/>
    </row>
    <row r="323" spans="22:25" x14ac:dyDescent="0.2">
      <c r="V323" s="153"/>
      <c r="W323" s="153"/>
      <c r="X323" s="153"/>
      <c r="Y323" s="153"/>
    </row>
    <row r="324" spans="22:25" x14ac:dyDescent="0.2">
      <c r="V324" s="153"/>
      <c r="W324" s="153"/>
      <c r="X324" s="153"/>
      <c r="Y324" s="153"/>
    </row>
    <row r="325" spans="22:25" x14ac:dyDescent="0.2">
      <c r="V325" s="153"/>
      <c r="W325" s="153"/>
      <c r="X325" s="153"/>
      <c r="Y325" s="153"/>
    </row>
    <row r="326" spans="22:25" x14ac:dyDescent="0.2">
      <c r="V326" s="153"/>
      <c r="W326" s="153"/>
      <c r="X326" s="153"/>
      <c r="Y326" s="153"/>
    </row>
    <row r="327" spans="22:25" x14ac:dyDescent="0.2">
      <c r="V327" s="153"/>
      <c r="W327" s="153"/>
      <c r="X327" s="153"/>
      <c r="Y327" s="153"/>
    </row>
    <row r="328" spans="22:25" x14ac:dyDescent="0.2">
      <c r="V328" s="153"/>
      <c r="W328" s="153"/>
      <c r="X328" s="153"/>
      <c r="Y328" s="153"/>
    </row>
    <row r="329" spans="22:25" x14ac:dyDescent="0.2">
      <c r="V329" s="153"/>
      <c r="W329" s="153"/>
      <c r="X329" s="153"/>
      <c r="Y329" s="153"/>
    </row>
    <row r="330" spans="22:25" x14ac:dyDescent="0.2">
      <c r="V330" s="153"/>
      <c r="W330" s="153"/>
      <c r="X330" s="153"/>
      <c r="Y330" s="153"/>
    </row>
    <row r="331" spans="22:25" x14ac:dyDescent="0.2">
      <c r="V331" s="153"/>
      <c r="W331" s="153"/>
      <c r="X331" s="153"/>
      <c r="Y331" s="153"/>
    </row>
    <row r="332" spans="22:25" x14ac:dyDescent="0.2">
      <c r="V332" s="153"/>
      <c r="W332" s="153"/>
      <c r="X332" s="153"/>
      <c r="Y332" s="153"/>
    </row>
    <row r="333" spans="22:25" x14ac:dyDescent="0.2">
      <c r="V333" s="153"/>
      <c r="W333" s="153"/>
      <c r="X333" s="153"/>
      <c r="Y333" s="153"/>
    </row>
    <row r="334" spans="22:25" x14ac:dyDescent="0.2">
      <c r="V334" s="153"/>
      <c r="W334" s="153"/>
      <c r="X334" s="153"/>
      <c r="Y334" s="153"/>
    </row>
    <row r="335" spans="22:25" x14ac:dyDescent="0.2">
      <c r="V335" s="153"/>
      <c r="W335" s="153"/>
      <c r="X335" s="153"/>
      <c r="Y335" s="153"/>
    </row>
    <row r="336" spans="22:25" x14ac:dyDescent="0.2">
      <c r="V336" s="153"/>
      <c r="W336" s="153"/>
      <c r="X336" s="153"/>
      <c r="Y336" s="153"/>
    </row>
    <row r="337" spans="22:25" x14ac:dyDescent="0.2">
      <c r="V337" s="153"/>
      <c r="W337" s="153"/>
      <c r="X337" s="153"/>
      <c r="Y337" s="153"/>
    </row>
    <row r="338" spans="22:25" x14ac:dyDescent="0.2">
      <c r="V338" s="153"/>
      <c r="W338" s="153"/>
      <c r="X338" s="153"/>
      <c r="Y338" s="153"/>
    </row>
    <row r="339" spans="22:25" x14ac:dyDescent="0.2">
      <c r="V339" s="153"/>
      <c r="W339" s="153"/>
      <c r="X339" s="153"/>
      <c r="Y339" s="153"/>
    </row>
    <row r="340" spans="22:25" x14ac:dyDescent="0.2">
      <c r="V340" s="153"/>
      <c r="W340" s="153"/>
      <c r="X340" s="153"/>
      <c r="Y340" s="153"/>
    </row>
    <row r="341" spans="22:25" x14ac:dyDescent="0.2">
      <c r="V341" s="153"/>
      <c r="W341" s="153"/>
      <c r="X341" s="153"/>
      <c r="Y341" s="153"/>
    </row>
    <row r="342" spans="22:25" x14ac:dyDescent="0.2">
      <c r="V342" s="153"/>
      <c r="W342" s="153"/>
      <c r="X342" s="153"/>
      <c r="Y342" s="153"/>
    </row>
    <row r="343" spans="22:25" x14ac:dyDescent="0.2">
      <c r="V343" s="153"/>
      <c r="W343" s="153"/>
      <c r="X343" s="153"/>
      <c r="Y343" s="153"/>
    </row>
    <row r="344" spans="22:25" x14ac:dyDescent="0.2">
      <c r="V344" s="153"/>
      <c r="W344" s="153"/>
      <c r="X344" s="153"/>
      <c r="Y344" s="153"/>
    </row>
    <row r="345" spans="22:25" x14ac:dyDescent="0.2">
      <c r="V345" s="153"/>
      <c r="W345" s="153"/>
      <c r="X345" s="153"/>
      <c r="Y345" s="153"/>
    </row>
    <row r="346" spans="22:25" x14ac:dyDescent="0.2">
      <c r="V346" s="153"/>
      <c r="W346" s="153"/>
      <c r="X346" s="153"/>
      <c r="Y346" s="153"/>
    </row>
    <row r="347" spans="22:25" x14ac:dyDescent="0.2">
      <c r="V347" s="153"/>
      <c r="W347" s="153"/>
      <c r="X347" s="153"/>
      <c r="Y347" s="153"/>
    </row>
    <row r="348" spans="22:25" x14ac:dyDescent="0.2">
      <c r="V348" s="153"/>
      <c r="W348" s="153"/>
      <c r="X348" s="153"/>
      <c r="Y348" s="153"/>
    </row>
    <row r="349" spans="22:25" x14ac:dyDescent="0.2">
      <c r="V349" s="153"/>
      <c r="W349" s="153"/>
      <c r="X349" s="153"/>
      <c r="Y349" s="153"/>
    </row>
    <row r="350" spans="22:25" x14ac:dyDescent="0.2">
      <c r="V350" s="153"/>
      <c r="W350" s="153"/>
      <c r="X350" s="153"/>
      <c r="Y350" s="153"/>
    </row>
    <row r="351" spans="22:25" x14ac:dyDescent="0.2">
      <c r="V351" s="153"/>
      <c r="W351" s="153"/>
      <c r="X351" s="153"/>
      <c r="Y351" s="153"/>
    </row>
    <row r="352" spans="22:25" x14ac:dyDescent="0.2">
      <c r="V352" s="153"/>
      <c r="W352" s="153"/>
      <c r="X352" s="153"/>
      <c r="Y352" s="153"/>
    </row>
    <row r="353" spans="22:25" x14ac:dyDescent="0.2">
      <c r="V353" s="153"/>
      <c r="W353" s="153"/>
      <c r="X353" s="153"/>
      <c r="Y353" s="153"/>
    </row>
    <row r="354" spans="22:25" x14ac:dyDescent="0.2">
      <c r="V354" s="153"/>
      <c r="W354" s="153"/>
      <c r="X354" s="153"/>
      <c r="Y354" s="153"/>
    </row>
    <row r="355" spans="22:25" x14ac:dyDescent="0.2">
      <c r="V355" s="153"/>
      <c r="W355" s="153"/>
      <c r="X355" s="153"/>
      <c r="Y355" s="153"/>
    </row>
    <row r="356" spans="22:25" x14ac:dyDescent="0.2">
      <c r="V356" s="153"/>
      <c r="W356" s="153"/>
      <c r="X356" s="153"/>
      <c r="Y356" s="153"/>
    </row>
    <row r="357" spans="22:25" x14ac:dyDescent="0.2">
      <c r="V357" s="153"/>
      <c r="W357" s="153"/>
      <c r="X357" s="153"/>
      <c r="Y357" s="153"/>
    </row>
    <row r="358" spans="22:25" x14ac:dyDescent="0.2">
      <c r="V358" s="153"/>
      <c r="W358" s="153"/>
      <c r="X358" s="153"/>
      <c r="Y358" s="153"/>
    </row>
    <row r="359" spans="22:25" x14ac:dyDescent="0.2">
      <c r="V359" s="153"/>
      <c r="W359" s="153"/>
      <c r="X359" s="153"/>
      <c r="Y359" s="153"/>
    </row>
    <row r="360" spans="22:25" x14ac:dyDescent="0.2">
      <c r="V360" s="153"/>
      <c r="W360" s="153"/>
      <c r="X360" s="153"/>
      <c r="Y360" s="153"/>
    </row>
    <row r="361" spans="22:25" x14ac:dyDescent="0.2">
      <c r="V361" s="153"/>
      <c r="W361" s="153"/>
      <c r="X361" s="153"/>
      <c r="Y361" s="153"/>
    </row>
    <row r="362" spans="22:25" x14ac:dyDescent="0.2">
      <c r="V362" s="153"/>
      <c r="W362" s="153"/>
      <c r="X362" s="153"/>
      <c r="Y362" s="153"/>
    </row>
    <row r="363" spans="22:25" x14ac:dyDescent="0.2">
      <c r="V363" s="153"/>
      <c r="W363" s="153"/>
      <c r="X363" s="153"/>
      <c r="Y363" s="153"/>
    </row>
    <row r="364" spans="22:25" x14ac:dyDescent="0.2">
      <c r="V364" s="153"/>
      <c r="W364" s="153"/>
      <c r="X364" s="153"/>
      <c r="Y364" s="153"/>
    </row>
    <row r="365" spans="22:25" x14ac:dyDescent="0.2">
      <c r="V365" s="153"/>
      <c r="W365" s="153"/>
      <c r="X365" s="153"/>
      <c r="Y365" s="153"/>
    </row>
    <row r="366" spans="22:25" x14ac:dyDescent="0.2">
      <c r="V366" s="153"/>
      <c r="W366" s="153"/>
      <c r="X366" s="153"/>
      <c r="Y366" s="153"/>
    </row>
    <row r="367" spans="22:25" x14ac:dyDescent="0.2">
      <c r="V367" s="153"/>
      <c r="W367" s="153"/>
      <c r="X367" s="153"/>
      <c r="Y367" s="153"/>
    </row>
    <row r="368" spans="22:25" x14ac:dyDescent="0.2">
      <c r="V368" s="153"/>
      <c r="W368" s="153"/>
      <c r="X368" s="153"/>
      <c r="Y368" s="153"/>
    </row>
    <row r="369" spans="22:25" x14ac:dyDescent="0.2">
      <c r="V369" s="153"/>
      <c r="W369" s="153"/>
      <c r="X369" s="153"/>
      <c r="Y369" s="153"/>
    </row>
    <row r="370" spans="22:25" x14ac:dyDescent="0.2">
      <c r="V370" s="153"/>
      <c r="W370" s="153"/>
      <c r="X370" s="153"/>
      <c r="Y370" s="153"/>
    </row>
    <row r="371" spans="22:25" x14ac:dyDescent="0.2">
      <c r="V371" s="153"/>
      <c r="W371" s="153"/>
      <c r="X371" s="153"/>
      <c r="Y371" s="153"/>
    </row>
    <row r="372" spans="22:25" x14ac:dyDescent="0.2">
      <c r="V372" s="153"/>
      <c r="W372" s="153"/>
      <c r="X372" s="153"/>
      <c r="Y372" s="153"/>
    </row>
    <row r="373" spans="22:25" x14ac:dyDescent="0.2">
      <c r="V373" s="153"/>
      <c r="W373" s="153"/>
      <c r="X373" s="153"/>
      <c r="Y373" s="153"/>
    </row>
    <row r="374" spans="22:25" x14ac:dyDescent="0.2">
      <c r="V374" s="153"/>
      <c r="W374" s="153"/>
      <c r="X374" s="153"/>
      <c r="Y374" s="153"/>
    </row>
    <row r="375" spans="22:25" x14ac:dyDescent="0.2">
      <c r="V375" s="153"/>
      <c r="W375" s="153"/>
      <c r="X375" s="153"/>
      <c r="Y375" s="153"/>
    </row>
    <row r="376" spans="22:25" x14ac:dyDescent="0.2">
      <c r="V376" s="153"/>
      <c r="W376" s="153"/>
      <c r="X376" s="153"/>
      <c r="Y376" s="153"/>
    </row>
    <row r="377" spans="22:25" x14ac:dyDescent="0.2">
      <c r="V377" s="153"/>
      <c r="W377" s="153"/>
      <c r="X377" s="153"/>
      <c r="Y377" s="153"/>
    </row>
    <row r="378" spans="22:25" x14ac:dyDescent="0.2">
      <c r="V378" s="153"/>
      <c r="W378" s="153"/>
      <c r="X378" s="153"/>
      <c r="Y378" s="153"/>
    </row>
    <row r="379" spans="22:25" x14ac:dyDescent="0.2">
      <c r="V379" s="153"/>
      <c r="W379" s="153"/>
      <c r="X379" s="153"/>
      <c r="Y379" s="153"/>
    </row>
    <row r="380" spans="22:25" x14ac:dyDescent="0.2">
      <c r="V380" s="153"/>
      <c r="W380" s="153"/>
      <c r="X380" s="153"/>
      <c r="Y380" s="153"/>
    </row>
    <row r="381" spans="22:25" x14ac:dyDescent="0.2">
      <c r="V381" s="153"/>
      <c r="W381" s="153"/>
      <c r="X381" s="153"/>
      <c r="Y381" s="153"/>
    </row>
    <row r="382" spans="22:25" x14ac:dyDescent="0.2">
      <c r="V382" s="153"/>
      <c r="W382" s="153"/>
      <c r="X382" s="153"/>
      <c r="Y382" s="153"/>
    </row>
    <row r="383" spans="22:25" x14ac:dyDescent="0.2">
      <c r="V383" s="153"/>
      <c r="W383" s="153"/>
      <c r="X383" s="153"/>
      <c r="Y383" s="153"/>
    </row>
    <row r="384" spans="22:25" x14ac:dyDescent="0.2">
      <c r="V384" s="153"/>
      <c r="W384" s="153"/>
      <c r="X384" s="153"/>
      <c r="Y384" s="153"/>
    </row>
    <row r="385" spans="22:25" x14ac:dyDescent="0.2">
      <c r="V385" s="153"/>
      <c r="W385" s="153"/>
      <c r="X385" s="153"/>
      <c r="Y385" s="153"/>
    </row>
    <row r="386" spans="22:25" x14ac:dyDescent="0.2">
      <c r="V386" s="153"/>
      <c r="W386" s="153"/>
      <c r="X386" s="153"/>
      <c r="Y386" s="153"/>
    </row>
    <row r="387" spans="22:25" x14ac:dyDescent="0.2">
      <c r="V387" s="153"/>
      <c r="W387" s="153"/>
      <c r="X387" s="153"/>
      <c r="Y387" s="153"/>
    </row>
    <row r="388" spans="22:25" x14ac:dyDescent="0.2">
      <c r="V388" s="153"/>
      <c r="W388" s="153"/>
      <c r="X388" s="153"/>
      <c r="Y388" s="153"/>
    </row>
    <row r="389" spans="22:25" x14ac:dyDescent="0.2">
      <c r="V389" s="153"/>
      <c r="W389" s="153"/>
      <c r="X389" s="153"/>
      <c r="Y389" s="153"/>
    </row>
    <row r="390" spans="22:25" x14ac:dyDescent="0.2">
      <c r="V390" s="153"/>
      <c r="W390" s="153"/>
      <c r="X390" s="153"/>
      <c r="Y390" s="153"/>
    </row>
    <row r="391" spans="22:25" x14ac:dyDescent="0.2">
      <c r="V391" s="153"/>
      <c r="W391" s="153"/>
      <c r="X391" s="153"/>
      <c r="Y391" s="153"/>
    </row>
    <row r="392" spans="22:25" x14ac:dyDescent="0.2">
      <c r="V392" s="153"/>
      <c r="W392" s="153"/>
      <c r="X392" s="153"/>
      <c r="Y392" s="153"/>
    </row>
    <row r="393" spans="22:25" x14ac:dyDescent="0.2">
      <c r="V393" s="153"/>
      <c r="W393" s="153"/>
      <c r="X393" s="153"/>
      <c r="Y393" s="153"/>
    </row>
    <row r="394" spans="22:25" x14ac:dyDescent="0.2">
      <c r="V394" s="153"/>
      <c r="W394" s="153"/>
      <c r="X394" s="153"/>
      <c r="Y394" s="153"/>
    </row>
    <row r="395" spans="22:25" x14ac:dyDescent="0.2">
      <c r="V395" s="153"/>
      <c r="W395" s="153"/>
      <c r="X395" s="153"/>
      <c r="Y395" s="153"/>
    </row>
    <row r="396" spans="22:25" x14ac:dyDescent="0.2">
      <c r="V396" s="153"/>
      <c r="W396" s="153"/>
      <c r="X396" s="153"/>
      <c r="Y396" s="153"/>
    </row>
    <row r="397" spans="22:25" x14ac:dyDescent="0.2">
      <c r="V397" s="153"/>
      <c r="W397" s="153"/>
      <c r="X397" s="153"/>
      <c r="Y397" s="153"/>
    </row>
    <row r="398" spans="22:25" x14ac:dyDescent="0.2">
      <c r="V398" s="153"/>
      <c r="W398" s="153"/>
      <c r="X398" s="153"/>
      <c r="Y398" s="153"/>
    </row>
    <row r="399" spans="22:25" x14ac:dyDescent="0.2">
      <c r="V399" s="153"/>
      <c r="W399" s="153"/>
      <c r="X399" s="153"/>
      <c r="Y399" s="153"/>
    </row>
    <row r="400" spans="22:25" x14ac:dyDescent="0.2">
      <c r="V400" s="153"/>
      <c r="W400" s="153"/>
      <c r="X400" s="153"/>
      <c r="Y400" s="153"/>
    </row>
    <row r="401" spans="22:25" x14ac:dyDescent="0.2">
      <c r="V401" s="153"/>
      <c r="W401" s="153"/>
      <c r="X401" s="153"/>
      <c r="Y401" s="153"/>
    </row>
    <row r="402" spans="22:25" x14ac:dyDescent="0.2">
      <c r="V402" s="153"/>
      <c r="W402" s="153"/>
      <c r="X402" s="153"/>
      <c r="Y402" s="153"/>
    </row>
    <row r="403" spans="22:25" x14ac:dyDescent="0.2">
      <c r="V403" s="153"/>
      <c r="W403" s="153"/>
      <c r="X403" s="153"/>
      <c r="Y403" s="153"/>
    </row>
    <row r="404" spans="22:25" x14ac:dyDescent="0.2">
      <c r="V404" s="153"/>
      <c r="W404" s="153"/>
      <c r="X404" s="153"/>
      <c r="Y404" s="153"/>
    </row>
    <row r="405" spans="22:25" x14ac:dyDescent="0.2">
      <c r="V405" s="153"/>
      <c r="W405" s="153"/>
      <c r="X405" s="153"/>
      <c r="Y405" s="153"/>
    </row>
    <row r="406" spans="22:25" x14ac:dyDescent="0.2">
      <c r="V406" s="153"/>
      <c r="W406" s="153"/>
      <c r="X406" s="153"/>
      <c r="Y406" s="153"/>
    </row>
    <row r="407" spans="22:25" x14ac:dyDescent="0.2">
      <c r="V407" s="153"/>
      <c r="W407" s="153"/>
      <c r="X407" s="153"/>
      <c r="Y407" s="153"/>
    </row>
    <row r="408" spans="22:25" x14ac:dyDescent="0.2">
      <c r="V408" s="153"/>
      <c r="W408" s="153"/>
      <c r="X408" s="153"/>
      <c r="Y408" s="153"/>
    </row>
    <row r="409" spans="22:25" x14ac:dyDescent="0.2">
      <c r="V409" s="153"/>
      <c r="W409" s="153"/>
      <c r="X409" s="153"/>
      <c r="Y409" s="153"/>
    </row>
    <row r="410" spans="22:25" x14ac:dyDescent="0.2">
      <c r="V410" s="153"/>
      <c r="W410" s="153"/>
      <c r="X410" s="153"/>
      <c r="Y410" s="153"/>
    </row>
    <row r="411" spans="22:25" x14ac:dyDescent="0.2">
      <c r="V411" s="153"/>
      <c r="W411" s="153"/>
      <c r="X411" s="153"/>
      <c r="Y411" s="153"/>
    </row>
    <row r="412" spans="22:25" x14ac:dyDescent="0.2">
      <c r="V412" s="153"/>
      <c r="W412" s="153"/>
      <c r="X412" s="153"/>
      <c r="Y412" s="153"/>
    </row>
    <row r="413" spans="22:25" x14ac:dyDescent="0.2">
      <c r="V413" s="153"/>
      <c r="W413" s="153"/>
      <c r="X413" s="153"/>
      <c r="Y413" s="153"/>
    </row>
    <row r="414" spans="22:25" x14ac:dyDescent="0.2">
      <c r="V414" s="153"/>
      <c r="W414" s="153"/>
      <c r="X414" s="153"/>
      <c r="Y414" s="153"/>
    </row>
    <row r="415" spans="22:25" x14ac:dyDescent="0.2">
      <c r="V415" s="153"/>
      <c r="W415" s="153"/>
      <c r="X415" s="153"/>
      <c r="Y415" s="153"/>
    </row>
    <row r="416" spans="22:25" x14ac:dyDescent="0.2">
      <c r="V416" s="153"/>
      <c r="W416" s="153"/>
      <c r="X416" s="153"/>
      <c r="Y416" s="153"/>
    </row>
    <row r="417" spans="22:25" x14ac:dyDescent="0.2">
      <c r="V417" s="153"/>
      <c r="W417" s="153"/>
      <c r="X417" s="153"/>
      <c r="Y417" s="153"/>
    </row>
    <row r="418" spans="22:25" x14ac:dyDescent="0.2">
      <c r="V418" s="153"/>
      <c r="W418" s="153"/>
      <c r="X418" s="153"/>
      <c r="Y418" s="153"/>
    </row>
    <row r="419" spans="22:25" x14ac:dyDescent="0.2">
      <c r="V419" s="153"/>
      <c r="W419" s="153"/>
      <c r="X419" s="153"/>
      <c r="Y419" s="153"/>
    </row>
    <row r="420" spans="22:25" x14ac:dyDescent="0.2">
      <c r="V420" s="153"/>
      <c r="W420" s="153"/>
      <c r="X420" s="153"/>
      <c r="Y420" s="153"/>
    </row>
    <row r="421" spans="22:25" x14ac:dyDescent="0.2">
      <c r="V421" s="153"/>
      <c r="W421" s="153"/>
      <c r="X421" s="153"/>
      <c r="Y421" s="153"/>
    </row>
    <row r="422" spans="22:25" x14ac:dyDescent="0.2">
      <c r="V422" s="153"/>
      <c r="W422" s="153"/>
      <c r="X422" s="153"/>
      <c r="Y422" s="153"/>
    </row>
    <row r="423" spans="22:25" x14ac:dyDescent="0.2">
      <c r="V423" s="153"/>
      <c r="W423" s="153"/>
      <c r="X423" s="153"/>
      <c r="Y423" s="153"/>
    </row>
    <row r="424" spans="22:25" x14ac:dyDescent="0.2">
      <c r="V424" s="153"/>
      <c r="W424" s="153"/>
      <c r="X424" s="153"/>
      <c r="Y424" s="153"/>
    </row>
    <row r="425" spans="22:25" x14ac:dyDescent="0.2">
      <c r="V425" s="153"/>
      <c r="W425" s="153"/>
      <c r="X425" s="153"/>
      <c r="Y425" s="153"/>
    </row>
    <row r="426" spans="22:25" x14ac:dyDescent="0.2">
      <c r="V426" s="153"/>
      <c r="W426" s="153"/>
      <c r="X426" s="153"/>
      <c r="Y426" s="153"/>
    </row>
    <row r="427" spans="22:25" x14ac:dyDescent="0.2">
      <c r="V427" s="153"/>
      <c r="W427" s="153"/>
      <c r="X427" s="153"/>
      <c r="Y427" s="153"/>
    </row>
    <row r="428" spans="22:25" x14ac:dyDescent="0.2">
      <c r="V428" s="153"/>
      <c r="W428" s="153"/>
      <c r="X428" s="153"/>
      <c r="Y428" s="153"/>
    </row>
    <row r="429" spans="22:25" x14ac:dyDescent="0.2">
      <c r="V429" s="153"/>
      <c r="W429" s="153"/>
      <c r="X429" s="153"/>
      <c r="Y429" s="153"/>
    </row>
    <row r="430" spans="22:25" x14ac:dyDescent="0.2">
      <c r="V430" s="153"/>
      <c r="W430" s="153"/>
      <c r="X430" s="153"/>
      <c r="Y430" s="153"/>
    </row>
    <row r="431" spans="22:25" x14ac:dyDescent="0.2">
      <c r="V431" s="153"/>
      <c r="W431" s="153"/>
      <c r="X431" s="153"/>
      <c r="Y431" s="153"/>
    </row>
    <row r="432" spans="22:25" x14ac:dyDescent="0.2">
      <c r="V432" s="153"/>
      <c r="W432" s="153"/>
      <c r="X432" s="153"/>
      <c r="Y432" s="153"/>
    </row>
    <row r="433" spans="22:25" x14ac:dyDescent="0.2">
      <c r="V433" s="153"/>
      <c r="W433" s="153"/>
      <c r="X433" s="153"/>
      <c r="Y433" s="153"/>
    </row>
    <row r="434" spans="22:25" x14ac:dyDescent="0.2">
      <c r="V434" s="153"/>
      <c r="W434" s="153"/>
      <c r="X434" s="153"/>
      <c r="Y434" s="153"/>
    </row>
    <row r="435" spans="22:25" x14ac:dyDescent="0.2">
      <c r="V435" s="153"/>
      <c r="W435" s="153"/>
      <c r="X435" s="153"/>
      <c r="Y435" s="153"/>
    </row>
    <row r="436" spans="22:25" x14ac:dyDescent="0.2">
      <c r="V436" s="153"/>
      <c r="W436" s="153"/>
      <c r="X436" s="153"/>
      <c r="Y436" s="153"/>
    </row>
    <row r="437" spans="22:25" x14ac:dyDescent="0.2">
      <c r="V437" s="153"/>
      <c r="W437" s="153"/>
      <c r="X437" s="153"/>
      <c r="Y437" s="153"/>
    </row>
    <row r="438" spans="22:25" x14ac:dyDescent="0.2">
      <c r="V438" s="153"/>
      <c r="W438" s="153"/>
      <c r="X438" s="153"/>
      <c r="Y438" s="153"/>
    </row>
    <row r="439" spans="22:25" x14ac:dyDescent="0.2">
      <c r="V439" s="153"/>
      <c r="W439" s="153"/>
      <c r="X439" s="153"/>
      <c r="Y439" s="153"/>
    </row>
    <row r="440" spans="22:25" x14ac:dyDescent="0.2">
      <c r="V440" s="153"/>
      <c r="W440" s="153"/>
      <c r="X440" s="153"/>
      <c r="Y440" s="153"/>
    </row>
    <row r="441" spans="22:25" x14ac:dyDescent="0.2">
      <c r="V441" s="153"/>
      <c r="W441" s="153"/>
      <c r="X441" s="153"/>
      <c r="Y441" s="153"/>
    </row>
    <row r="442" spans="22:25" x14ac:dyDescent="0.2">
      <c r="V442" s="153"/>
      <c r="W442" s="153"/>
      <c r="X442" s="153"/>
      <c r="Y442" s="153"/>
    </row>
    <row r="443" spans="22:25" x14ac:dyDescent="0.2">
      <c r="V443" s="153"/>
      <c r="W443" s="153"/>
      <c r="X443" s="153"/>
      <c r="Y443" s="153"/>
    </row>
    <row r="444" spans="22:25" x14ac:dyDescent="0.2">
      <c r="V444" s="153"/>
      <c r="W444" s="153"/>
      <c r="X444" s="153"/>
      <c r="Y444" s="153"/>
    </row>
    <row r="445" spans="22:25" x14ac:dyDescent="0.2">
      <c r="V445" s="153"/>
      <c r="W445" s="153"/>
      <c r="X445" s="153"/>
      <c r="Y445" s="153"/>
    </row>
    <row r="446" spans="22:25" x14ac:dyDescent="0.2">
      <c r="V446" s="153"/>
      <c r="W446" s="153"/>
      <c r="X446" s="153"/>
      <c r="Y446" s="153"/>
    </row>
    <row r="447" spans="22:25" x14ac:dyDescent="0.2">
      <c r="V447" s="153"/>
      <c r="W447" s="153"/>
      <c r="X447" s="153"/>
      <c r="Y447" s="153"/>
    </row>
    <row r="448" spans="22:25" x14ac:dyDescent="0.2">
      <c r="V448" s="153"/>
      <c r="W448" s="153"/>
      <c r="X448" s="153"/>
      <c r="Y448" s="153"/>
    </row>
    <row r="449" spans="22:25" x14ac:dyDescent="0.2">
      <c r="V449" s="153"/>
      <c r="W449" s="153"/>
      <c r="X449" s="153"/>
      <c r="Y449" s="153"/>
    </row>
    <row r="450" spans="22:25" x14ac:dyDescent="0.2">
      <c r="V450" s="153"/>
      <c r="W450" s="153"/>
      <c r="X450" s="153"/>
      <c r="Y450" s="153"/>
    </row>
    <row r="451" spans="22:25" x14ac:dyDescent="0.2">
      <c r="V451" s="153"/>
      <c r="W451" s="153"/>
      <c r="X451" s="153"/>
      <c r="Y451" s="153"/>
    </row>
    <row r="452" spans="22:25" x14ac:dyDescent="0.2">
      <c r="V452" s="153"/>
      <c r="W452" s="153"/>
      <c r="X452" s="153"/>
      <c r="Y452" s="153"/>
    </row>
    <row r="453" spans="22:25" x14ac:dyDescent="0.2">
      <c r="V453" s="153"/>
      <c r="W453" s="153"/>
      <c r="X453" s="153"/>
      <c r="Y453" s="153"/>
    </row>
    <row r="454" spans="22:25" x14ac:dyDescent="0.2">
      <c r="V454" s="153"/>
      <c r="W454" s="153"/>
      <c r="X454" s="153"/>
      <c r="Y454" s="153"/>
    </row>
    <row r="455" spans="22:25" x14ac:dyDescent="0.2">
      <c r="V455" s="153"/>
      <c r="W455" s="153"/>
      <c r="X455" s="153"/>
      <c r="Y455" s="153"/>
    </row>
    <row r="456" spans="22:25" x14ac:dyDescent="0.2">
      <c r="V456" s="153"/>
      <c r="W456" s="153"/>
      <c r="X456" s="153"/>
      <c r="Y456" s="153"/>
    </row>
    <row r="457" spans="22:25" x14ac:dyDescent="0.2">
      <c r="V457" s="153"/>
      <c r="W457" s="153"/>
      <c r="X457" s="153"/>
      <c r="Y457" s="153"/>
    </row>
    <row r="458" spans="22:25" x14ac:dyDescent="0.2">
      <c r="V458" s="153"/>
      <c r="W458" s="153"/>
      <c r="X458" s="153"/>
      <c r="Y458" s="153"/>
    </row>
    <row r="459" spans="22:25" x14ac:dyDescent="0.2">
      <c r="V459" s="153"/>
      <c r="W459" s="153"/>
      <c r="X459" s="153"/>
      <c r="Y459" s="153"/>
    </row>
    <row r="460" spans="22:25" x14ac:dyDescent="0.2">
      <c r="V460" s="153"/>
      <c r="W460" s="153"/>
      <c r="X460" s="153"/>
      <c r="Y460" s="153"/>
    </row>
    <row r="461" spans="22:25" x14ac:dyDescent="0.2">
      <c r="V461" s="153"/>
      <c r="W461" s="153"/>
      <c r="X461" s="153"/>
      <c r="Y461" s="153"/>
    </row>
    <row r="462" spans="22:25" x14ac:dyDescent="0.2">
      <c r="V462" s="153"/>
      <c r="W462" s="153"/>
      <c r="X462" s="153"/>
      <c r="Y462" s="153"/>
    </row>
    <row r="463" spans="22:25" x14ac:dyDescent="0.2">
      <c r="V463" s="153"/>
      <c r="W463" s="153"/>
      <c r="X463" s="153"/>
      <c r="Y463" s="153"/>
    </row>
    <row r="464" spans="22:25" x14ac:dyDescent="0.2">
      <c r="V464" s="153"/>
      <c r="W464" s="153"/>
      <c r="X464" s="153"/>
      <c r="Y464" s="153"/>
    </row>
    <row r="465" spans="22:25" x14ac:dyDescent="0.2">
      <c r="V465" s="153"/>
      <c r="W465" s="153"/>
      <c r="X465" s="153"/>
      <c r="Y465" s="153"/>
    </row>
    <row r="466" spans="22:25" x14ac:dyDescent="0.2">
      <c r="V466" s="153"/>
      <c r="W466" s="153"/>
      <c r="X466" s="153"/>
      <c r="Y466" s="153"/>
    </row>
    <row r="467" spans="22:25" x14ac:dyDescent="0.2">
      <c r="V467" s="153"/>
      <c r="W467" s="153"/>
      <c r="X467" s="153"/>
      <c r="Y467" s="153"/>
    </row>
    <row r="468" spans="22:25" x14ac:dyDescent="0.2">
      <c r="V468" s="153"/>
      <c r="W468" s="153"/>
      <c r="X468" s="153"/>
      <c r="Y468" s="153"/>
    </row>
    <row r="469" spans="22:25" x14ac:dyDescent="0.2">
      <c r="V469" s="153"/>
      <c r="W469" s="153"/>
      <c r="X469" s="153"/>
      <c r="Y469" s="153"/>
    </row>
    <row r="470" spans="22:25" x14ac:dyDescent="0.2">
      <c r="V470" s="153"/>
      <c r="W470" s="153"/>
      <c r="X470" s="153"/>
      <c r="Y470" s="153"/>
    </row>
    <row r="471" spans="22:25" x14ac:dyDescent="0.2">
      <c r="V471" s="153"/>
      <c r="W471" s="153"/>
      <c r="X471" s="153"/>
      <c r="Y471" s="153"/>
    </row>
    <row r="472" spans="22:25" x14ac:dyDescent="0.2">
      <c r="V472" s="153"/>
      <c r="W472" s="153"/>
      <c r="X472" s="153"/>
      <c r="Y472" s="153"/>
    </row>
    <row r="473" spans="22:25" x14ac:dyDescent="0.2">
      <c r="V473" s="153"/>
      <c r="W473" s="153"/>
      <c r="X473" s="153"/>
      <c r="Y473" s="153"/>
    </row>
    <row r="474" spans="22:25" x14ac:dyDescent="0.2">
      <c r="V474" s="153"/>
      <c r="W474" s="153"/>
      <c r="X474" s="153"/>
      <c r="Y474" s="153"/>
    </row>
    <row r="475" spans="22:25" x14ac:dyDescent="0.2">
      <c r="V475" s="153"/>
      <c r="W475" s="153"/>
      <c r="X475" s="153"/>
      <c r="Y475" s="153"/>
    </row>
    <row r="476" spans="22:25" x14ac:dyDescent="0.2">
      <c r="V476" s="153"/>
      <c r="W476" s="153"/>
      <c r="X476" s="153"/>
      <c r="Y476" s="153"/>
    </row>
    <row r="477" spans="22:25" x14ac:dyDescent="0.2">
      <c r="V477" s="153"/>
      <c r="W477" s="153"/>
      <c r="X477" s="153"/>
      <c r="Y477" s="153"/>
    </row>
    <row r="478" spans="22:25" x14ac:dyDescent="0.2">
      <c r="V478" s="153"/>
      <c r="W478" s="153"/>
      <c r="X478" s="153"/>
      <c r="Y478" s="153"/>
    </row>
    <row r="479" spans="22:25" x14ac:dyDescent="0.2">
      <c r="V479" s="153"/>
      <c r="W479" s="153"/>
      <c r="X479" s="153"/>
      <c r="Y479" s="153"/>
    </row>
    <row r="480" spans="22:25" x14ac:dyDescent="0.2">
      <c r="V480" s="153"/>
      <c r="W480" s="153"/>
      <c r="X480" s="153"/>
      <c r="Y480" s="153"/>
    </row>
    <row r="481" spans="22:25" x14ac:dyDescent="0.2">
      <c r="V481" s="153"/>
      <c r="W481" s="153"/>
      <c r="X481" s="153"/>
      <c r="Y481" s="153"/>
    </row>
    <row r="482" spans="22:25" x14ac:dyDescent="0.2">
      <c r="V482" s="153"/>
      <c r="W482" s="153"/>
      <c r="X482" s="153"/>
      <c r="Y482" s="153"/>
    </row>
    <row r="483" spans="22:25" x14ac:dyDescent="0.2">
      <c r="V483" s="153"/>
      <c r="W483" s="153"/>
      <c r="X483" s="153"/>
      <c r="Y483" s="153"/>
    </row>
    <row r="484" spans="22:25" x14ac:dyDescent="0.2">
      <c r="V484" s="153"/>
      <c r="W484" s="153"/>
      <c r="X484" s="153"/>
      <c r="Y484" s="153"/>
    </row>
    <row r="485" spans="22:25" x14ac:dyDescent="0.2">
      <c r="V485" s="153"/>
      <c r="W485" s="153"/>
      <c r="X485" s="153"/>
      <c r="Y485" s="153"/>
    </row>
    <row r="486" spans="22:25" x14ac:dyDescent="0.2">
      <c r="V486" s="153"/>
      <c r="W486" s="153"/>
      <c r="X486" s="153"/>
      <c r="Y486" s="153"/>
    </row>
    <row r="487" spans="22:25" x14ac:dyDescent="0.2">
      <c r="V487" s="153"/>
      <c r="W487" s="153"/>
      <c r="X487" s="153"/>
      <c r="Y487" s="153"/>
    </row>
    <row r="488" spans="22:25" x14ac:dyDescent="0.2">
      <c r="V488" s="153"/>
      <c r="W488" s="153"/>
      <c r="X488" s="153"/>
      <c r="Y488" s="153"/>
    </row>
    <row r="489" spans="22:25" x14ac:dyDescent="0.2">
      <c r="V489" s="153"/>
      <c r="W489" s="153"/>
      <c r="X489" s="153"/>
      <c r="Y489" s="153"/>
    </row>
    <row r="490" spans="22:25" x14ac:dyDescent="0.2">
      <c r="V490" s="153"/>
      <c r="W490" s="153"/>
      <c r="X490" s="153"/>
      <c r="Y490" s="153"/>
    </row>
    <row r="491" spans="22:25" x14ac:dyDescent="0.2">
      <c r="V491" s="153"/>
      <c r="W491" s="153"/>
      <c r="X491" s="153"/>
      <c r="Y491" s="153"/>
    </row>
    <row r="492" spans="22:25" x14ac:dyDescent="0.2">
      <c r="V492" s="153"/>
      <c r="W492" s="153"/>
      <c r="X492" s="153"/>
      <c r="Y492" s="153"/>
    </row>
    <row r="493" spans="22:25" x14ac:dyDescent="0.2">
      <c r="V493" s="153"/>
      <c r="W493" s="153"/>
      <c r="X493" s="153"/>
      <c r="Y493" s="153"/>
    </row>
    <row r="494" spans="22:25" x14ac:dyDescent="0.2">
      <c r="V494" s="153"/>
      <c r="W494" s="153"/>
      <c r="X494" s="153"/>
      <c r="Y494" s="153"/>
    </row>
    <row r="495" spans="22:25" x14ac:dyDescent="0.2">
      <c r="V495" s="153"/>
      <c r="W495" s="153"/>
      <c r="X495" s="153"/>
      <c r="Y495" s="153"/>
    </row>
    <row r="496" spans="22:25" x14ac:dyDescent="0.2">
      <c r="V496" s="153"/>
      <c r="W496" s="153"/>
      <c r="X496" s="153"/>
      <c r="Y496" s="153"/>
    </row>
    <row r="497" spans="22:25" x14ac:dyDescent="0.2">
      <c r="V497" s="153"/>
      <c r="W497" s="153"/>
      <c r="X497" s="153"/>
      <c r="Y497" s="153"/>
    </row>
    <row r="498" spans="22:25" x14ac:dyDescent="0.2">
      <c r="V498" s="153"/>
      <c r="W498" s="153"/>
      <c r="X498" s="153"/>
      <c r="Y498" s="153"/>
    </row>
    <row r="499" spans="22:25" x14ac:dyDescent="0.2">
      <c r="V499" s="153"/>
      <c r="W499" s="153"/>
      <c r="X499" s="153"/>
      <c r="Y499" s="153"/>
    </row>
    <row r="500" spans="22:25" x14ac:dyDescent="0.2">
      <c r="V500" s="153"/>
      <c r="W500" s="153"/>
      <c r="X500" s="153"/>
      <c r="Y500" s="153"/>
    </row>
    <row r="501" spans="22:25" x14ac:dyDescent="0.2">
      <c r="V501" s="153"/>
      <c r="W501" s="153"/>
      <c r="X501" s="153"/>
      <c r="Y501" s="153"/>
    </row>
    <row r="502" spans="22:25" x14ac:dyDescent="0.2">
      <c r="V502" s="153"/>
      <c r="W502" s="153"/>
      <c r="X502" s="153"/>
      <c r="Y502" s="153"/>
    </row>
    <row r="503" spans="22:25" x14ac:dyDescent="0.2">
      <c r="V503" s="153"/>
      <c r="W503" s="153"/>
      <c r="X503" s="153"/>
      <c r="Y503" s="153"/>
    </row>
    <row r="504" spans="22:25" x14ac:dyDescent="0.2">
      <c r="V504" s="153"/>
      <c r="W504" s="153"/>
      <c r="X504" s="153"/>
      <c r="Y504" s="153"/>
    </row>
    <row r="505" spans="22:25" x14ac:dyDescent="0.2">
      <c r="V505" s="153"/>
      <c r="W505" s="153"/>
      <c r="X505" s="153"/>
      <c r="Y505" s="153"/>
    </row>
    <row r="506" spans="22:25" x14ac:dyDescent="0.2">
      <c r="V506" s="153"/>
      <c r="W506" s="153"/>
      <c r="X506" s="153"/>
      <c r="Y506" s="153"/>
    </row>
    <row r="507" spans="22:25" x14ac:dyDescent="0.2">
      <c r="V507" s="153"/>
      <c r="W507" s="153"/>
      <c r="X507" s="153"/>
      <c r="Y507" s="153"/>
    </row>
    <row r="508" spans="22:25" x14ac:dyDescent="0.2">
      <c r="V508" s="153"/>
      <c r="W508" s="153"/>
      <c r="X508" s="153"/>
      <c r="Y508" s="153"/>
    </row>
    <row r="509" spans="22:25" x14ac:dyDescent="0.2">
      <c r="V509" s="153"/>
      <c r="W509" s="153"/>
      <c r="X509" s="153"/>
      <c r="Y509" s="153"/>
    </row>
    <row r="510" spans="22:25" x14ac:dyDescent="0.2">
      <c r="V510" s="153"/>
      <c r="W510" s="153"/>
      <c r="X510" s="153"/>
      <c r="Y510" s="153"/>
    </row>
    <row r="511" spans="22:25" x14ac:dyDescent="0.2">
      <c r="V511" s="153"/>
      <c r="W511" s="153"/>
      <c r="X511" s="153"/>
      <c r="Y511" s="153"/>
    </row>
    <row r="512" spans="22:25" x14ac:dyDescent="0.2">
      <c r="V512" s="153"/>
      <c r="W512" s="153"/>
      <c r="X512" s="153"/>
      <c r="Y512" s="153"/>
    </row>
    <row r="513" spans="22:25" x14ac:dyDescent="0.2">
      <c r="V513" s="153"/>
      <c r="W513" s="153"/>
      <c r="X513" s="153"/>
      <c r="Y513" s="153"/>
    </row>
    <row r="514" spans="22:25" x14ac:dyDescent="0.2">
      <c r="V514" s="153"/>
      <c r="W514" s="153"/>
      <c r="X514" s="153"/>
      <c r="Y514" s="153"/>
    </row>
    <row r="515" spans="22:25" x14ac:dyDescent="0.2">
      <c r="V515" s="153"/>
      <c r="W515" s="153"/>
      <c r="X515" s="153"/>
      <c r="Y515" s="153"/>
    </row>
    <row r="516" spans="22:25" x14ac:dyDescent="0.2">
      <c r="V516" s="153"/>
      <c r="W516" s="153"/>
      <c r="X516" s="153"/>
      <c r="Y516" s="153"/>
    </row>
    <row r="517" spans="22:25" x14ac:dyDescent="0.2">
      <c r="V517" s="153"/>
      <c r="W517" s="153"/>
      <c r="X517" s="153"/>
      <c r="Y517" s="153"/>
    </row>
    <row r="518" spans="22:25" x14ac:dyDescent="0.2">
      <c r="V518" s="153"/>
      <c r="W518" s="153"/>
      <c r="X518" s="153"/>
      <c r="Y518" s="153"/>
    </row>
    <row r="519" spans="22:25" x14ac:dyDescent="0.2">
      <c r="V519" s="153"/>
      <c r="W519" s="153"/>
      <c r="X519" s="153"/>
      <c r="Y519" s="153"/>
    </row>
    <row r="520" spans="22:25" x14ac:dyDescent="0.2">
      <c r="V520" s="153"/>
      <c r="W520" s="153"/>
      <c r="X520" s="153"/>
      <c r="Y520" s="153"/>
    </row>
    <row r="521" spans="22:25" x14ac:dyDescent="0.2">
      <c r="V521" s="153"/>
      <c r="W521" s="153"/>
      <c r="X521" s="153"/>
      <c r="Y521" s="153"/>
    </row>
    <row r="522" spans="22:25" x14ac:dyDescent="0.2">
      <c r="V522" s="153"/>
      <c r="W522" s="153"/>
      <c r="X522" s="153"/>
      <c r="Y522" s="153"/>
    </row>
    <row r="523" spans="22:25" x14ac:dyDescent="0.2">
      <c r="V523" s="153"/>
      <c r="W523" s="153"/>
      <c r="X523" s="153"/>
      <c r="Y523" s="153"/>
    </row>
    <row r="524" spans="22:25" x14ac:dyDescent="0.2">
      <c r="V524" s="153"/>
      <c r="W524" s="153"/>
      <c r="X524" s="153"/>
      <c r="Y524" s="153"/>
    </row>
    <row r="525" spans="22:25" x14ac:dyDescent="0.2">
      <c r="V525" s="153"/>
      <c r="W525" s="153"/>
      <c r="X525" s="153"/>
      <c r="Y525" s="153"/>
    </row>
    <row r="526" spans="22:25" x14ac:dyDescent="0.2">
      <c r="V526" s="153"/>
      <c r="W526" s="153"/>
      <c r="X526" s="153"/>
      <c r="Y526" s="153"/>
    </row>
    <row r="527" spans="22:25" x14ac:dyDescent="0.2">
      <c r="V527" s="153"/>
      <c r="W527" s="153"/>
      <c r="X527" s="153"/>
      <c r="Y527" s="153"/>
    </row>
    <row r="528" spans="22:25" x14ac:dyDescent="0.2">
      <c r="V528" s="153"/>
      <c r="W528" s="153"/>
      <c r="X528" s="153"/>
      <c r="Y528" s="153"/>
    </row>
    <row r="529" spans="22:25" x14ac:dyDescent="0.2">
      <c r="V529" s="153"/>
      <c r="W529" s="153"/>
      <c r="X529" s="153"/>
      <c r="Y529" s="153"/>
    </row>
    <row r="530" spans="22:25" x14ac:dyDescent="0.2">
      <c r="V530" s="153"/>
      <c r="W530" s="153"/>
      <c r="X530" s="153"/>
      <c r="Y530" s="153"/>
    </row>
    <row r="531" spans="22:25" x14ac:dyDescent="0.2">
      <c r="V531" s="153"/>
      <c r="W531" s="153"/>
      <c r="X531" s="153"/>
      <c r="Y531" s="153"/>
    </row>
    <row r="532" spans="22:25" x14ac:dyDescent="0.2">
      <c r="V532" s="153"/>
      <c r="W532" s="153"/>
      <c r="X532" s="153"/>
      <c r="Y532" s="153"/>
    </row>
    <row r="533" spans="22:25" x14ac:dyDescent="0.2">
      <c r="V533" s="153"/>
      <c r="W533" s="153"/>
      <c r="X533" s="153"/>
      <c r="Y533" s="153"/>
    </row>
    <row r="534" spans="22:25" x14ac:dyDescent="0.2">
      <c r="V534" s="153"/>
      <c r="W534" s="153"/>
      <c r="X534" s="153"/>
      <c r="Y534" s="153"/>
    </row>
    <row r="535" spans="22:25" x14ac:dyDescent="0.2">
      <c r="V535" s="153"/>
      <c r="W535" s="153"/>
      <c r="X535" s="153"/>
      <c r="Y535" s="153"/>
    </row>
    <row r="536" spans="22:25" x14ac:dyDescent="0.2">
      <c r="V536" s="153"/>
      <c r="W536" s="153"/>
      <c r="X536" s="153"/>
      <c r="Y536" s="153"/>
    </row>
    <row r="537" spans="22:25" x14ac:dyDescent="0.2">
      <c r="V537" s="153"/>
      <c r="W537" s="153"/>
      <c r="X537" s="153"/>
      <c r="Y537" s="153"/>
    </row>
    <row r="538" spans="22:25" x14ac:dyDescent="0.2">
      <c r="V538" s="153"/>
      <c r="W538" s="153"/>
      <c r="X538" s="153"/>
      <c r="Y538" s="153"/>
    </row>
    <row r="539" spans="22:25" x14ac:dyDescent="0.2">
      <c r="V539" s="153"/>
      <c r="W539" s="153"/>
      <c r="X539" s="153"/>
      <c r="Y539" s="153"/>
    </row>
    <row r="540" spans="22:25" x14ac:dyDescent="0.2">
      <c r="V540" s="153"/>
      <c r="W540" s="153"/>
      <c r="X540" s="153"/>
      <c r="Y540" s="153"/>
    </row>
    <row r="541" spans="22:25" x14ac:dyDescent="0.2">
      <c r="V541" s="153"/>
      <c r="W541" s="153"/>
      <c r="X541" s="153"/>
      <c r="Y541" s="153"/>
    </row>
    <row r="542" spans="22:25" x14ac:dyDescent="0.2">
      <c r="V542" s="153"/>
      <c r="W542" s="153"/>
      <c r="X542" s="153"/>
      <c r="Y542" s="153"/>
    </row>
    <row r="543" spans="22:25" x14ac:dyDescent="0.2">
      <c r="V543" s="153"/>
      <c r="W543" s="153"/>
      <c r="X543" s="153"/>
      <c r="Y543" s="153"/>
    </row>
    <row r="544" spans="22:25" x14ac:dyDescent="0.2">
      <c r="V544" s="153"/>
      <c r="W544" s="153"/>
      <c r="X544" s="153"/>
      <c r="Y544" s="153"/>
    </row>
    <row r="545" spans="22:25" x14ac:dyDescent="0.2">
      <c r="V545" s="153"/>
      <c r="W545" s="153"/>
      <c r="X545" s="153"/>
      <c r="Y545" s="153"/>
    </row>
    <row r="546" spans="22:25" x14ac:dyDescent="0.2">
      <c r="V546" s="153"/>
      <c r="W546" s="153"/>
      <c r="X546" s="153"/>
      <c r="Y546" s="153"/>
    </row>
    <row r="547" spans="22:25" x14ac:dyDescent="0.2">
      <c r="V547" s="153"/>
      <c r="W547" s="153"/>
      <c r="X547" s="153"/>
      <c r="Y547" s="153"/>
    </row>
    <row r="548" spans="22:25" x14ac:dyDescent="0.2">
      <c r="V548" s="153"/>
      <c r="W548" s="153"/>
      <c r="X548" s="153"/>
      <c r="Y548" s="153"/>
    </row>
    <row r="549" spans="22:25" x14ac:dyDescent="0.2">
      <c r="V549" s="153"/>
      <c r="W549" s="153"/>
      <c r="X549" s="153"/>
      <c r="Y549" s="153"/>
    </row>
    <row r="550" spans="22:25" x14ac:dyDescent="0.2">
      <c r="V550" s="153"/>
      <c r="W550" s="153"/>
      <c r="X550" s="153"/>
      <c r="Y550" s="153"/>
    </row>
    <row r="551" spans="22:25" x14ac:dyDescent="0.2">
      <c r="V551" s="153"/>
      <c r="W551" s="153"/>
      <c r="X551" s="153"/>
      <c r="Y551" s="153"/>
    </row>
    <row r="552" spans="22:25" x14ac:dyDescent="0.2">
      <c r="V552" s="153"/>
      <c r="W552" s="153"/>
      <c r="X552" s="153"/>
      <c r="Y552" s="153"/>
    </row>
    <row r="553" spans="22:25" x14ac:dyDescent="0.2">
      <c r="V553" s="153"/>
      <c r="W553" s="153"/>
      <c r="X553" s="153"/>
      <c r="Y553" s="153"/>
    </row>
    <row r="554" spans="22:25" x14ac:dyDescent="0.2">
      <c r="V554" s="153"/>
      <c r="W554" s="153"/>
      <c r="X554" s="153"/>
      <c r="Y554" s="153"/>
    </row>
    <row r="555" spans="22:25" x14ac:dyDescent="0.2">
      <c r="V555" s="153"/>
      <c r="W555" s="153"/>
      <c r="X555" s="153"/>
      <c r="Y555" s="153"/>
    </row>
    <row r="556" spans="22:25" x14ac:dyDescent="0.2">
      <c r="V556" s="153"/>
      <c r="W556" s="153"/>
      <c r="X556" s="153"/>
      <c r="Y556" s="153"/>
    </row>
    <row r="557" spans="22:25" x14ac:dyDescent="0.2">
      <c r="V557" s="153"/>
      <c r="W557" s="153"/>
      <c r="X557" s="153"/>
      <c r="Y557" s="153"/>
    </row>
    <row r="558" spans="22:25" x14ac:dyDescent="0.2">
      <c r="V558" s="153"/>
      <c r="W558" s="153"/>
      <c r="X558" s="153"/>
      <c r="Y558" s="153"/>
    </row>
    <row r="559" spans="22:25" x14ac:dyDescent="0.2">
      <c r="V559" s="153"/>
      <c r="W559" s="153"/>
      <c r="X559" s="153"/>
      <c r="Y559" s="153"/>
    </row>
    <row r="560" spans="22:25" x14ac:dyDescent="0.2">
      <c r="V560" s="153"/>
      <c r="W560" s="153"/>
      <c r="X560" s="153"/>
      <c r="Y560" s="153"/>
    </row>
    <row r="561" spans="22:25" x14ac:dyDescent="0.2">
      <c r="V561" s="153"/>
      <c r="W561" s="153"/>
      <c r="X561" s="153"/>
      <c r="Y561" s="153"/>
    </row>
    <row r="562" spans="22:25" x14ac:dyDescent="0.2">
      <c r="V562" s="153"/>
      <c r="W562" s="153"/>
      <c r="X562" s="153"/>
      <c r="Y562" s="153"/>
    </row>
    <row r="563" spans="22:25" x14ac:dyDescent="0.2">
      <c r="V563" s="153"/>
      <c r="W563" s="153"/>
      <c r="X563" s="153"/>
      <c r="Y563" s="153"/>
    </row>
    <row r="564" spans="22:25" x14ac:dyDescent="0.2">
      <c r="V564" s="153"/>
      <c r="W564" s="153"/>
      <c r="X564" s="153"/>
      <c r="Y564" s="153"/>
    </row>
    <row r="565" spans="22:25" x14ac:dyDescent="0.2">
      <c r="V565" s="153"/>
      <c r="W565" s="153"/>
      <c r="X565" s="153"/>
      <c r="Y565" s="153"/>
    </row>
    <row r="566" spans="22:25" x14ac:dyDescent="0.2">
      <c r="V566" s="153"/>
      <c r="W566" s="153"/>
      <c r="X566" s="153"/>
      <c r="Y566" s="153"/>
    </row>
    <row r="567" spans="22:25" x14ac:dyDescent="0.2">
      <c r="V567" s="153"/>
      <c r="W567" s="153"/>
      <c r="X567" s="153"/>
      <c r="Y567" s="153"/>
    </row>
    <row r="568" spans="22:25" x14ac:dyDescent="0.2">
      <c r="V568" s="153"/>
      <c r="W568" s="153"/>
      <c r="X568" s="153"/>
      <c r="Y568" s="153"/>
    </row>
    <row r="569" spans="22:25" x14ac:dyDescent="0.2">
      <c r="V569" s="153"/>
      <c r="W569" s="153"/>
      <c r="X569" s="153"/>
      <c r="Y569" s="153"/>
    </row>
    <row r="570" spans="22:25" x14ac:dyDescent="0.2">
      <c r="V570" s="153"/>
      <c r="W570" s="153"/>
      <c r="X570" s="153"/>
      <c r="Y570" s="153"/>
    </row>
    <row r="571" spans="22:25" x14ac:dyDescent="0.2">
      <c r="V571" s="153"/>
      <c r="W571" s="153"/>
      <c r="X571" s="153"/>
      <c r="Y571" s="153"/>
    </row>
    <row r="572" spans="22:25" x14ac:dyDescent="0.2">
      <c r="V572" s="153"/>
      <c r="W572" s="153"/>
      <c r="X572" s="153"/>
      <c r="Y572" s="153"/>
    </row>
    <row r="573" spans="22:25" x14ac:dyDescent="0.2">
      <c r="V573" s="153"/>
      <c r="W573" s="153"/>
      <c r="X573" s="153"/>
      <c r="Y573" s="153"/>
    </row>
    <row r="574" spans="22:25" x14ac:dyDescent="0.2">
      <c r="V574" s="153"/>
      <c r="W574" s="153"/>
      <c r="X574" s="153"/>
      <c r="Y574" s="153"/>
    </row>
    <row r="575" spans="22:25" x14ac:dyDescent="0.2">
      <c r="V575" s="153"/>
      <c r="W575" s="153"/>
      <c r="X575" s="153"/>
      <c r="Y575" s="153"/>
    </row>
    <row r="576" spans="22:25" x14ac:dyDescent="0.2">
      <c r="V576" s="153"/>
      <c r="W576" s="153"/>
      <c r="X576" s="153"/>
      <c r="Y576" s="153"/>
    </row>
    <row r="577" spans="22:25" x14ac:dyDescent="0.2">
      <c r="V577" s="153"/>
      <c r="W577" s="153"/>
      <c r="X577" s="153"/>
      <c r="Y577" s="153"/>
    </row>
    <row r="578" spans="22:25" x14ac:dyDescent="0.2">
      <c r="V578" s="153"/>
      <c r="W578" s="153"/>
      <c r="X578" s="153"/>
      <c r="Y578" s="153"/>
    </row>
    <row r="579" spans="22:25" x14ac:dyDescent="0.2">
      <c r="V579" s="153"/>
      <c r="W579" s="153"/>
      <c r="X579" s="153"/>
      <c r="Y579" s="153"/>
    </row>
    <row r="580" spans="22:25" x14ac:dyDescent="0.2">
      <c r="V580" s="153"/>
      <c r="W580" s="153"/>
      <c r="X580" s="153"/>
      <c r="Y580" s="153"/>
    </row>
    <row r="581" spans="22:25" x14ac:dyDescent="0.2">
      <c r="V581" s="153"/>
      <c r="W581" s="153"/>
      <c r="X581" s="153"/>
      <c r="Y581" s="153"/>
    </row>
    <row r="582" spans="22:25" x14ac:dyDescent="0.2">
      <c r="V582" s="153"/>
      <c r="W582" s="153"/>
      <c r="X582" s="153"/>
      <c r="Y582" s="153"/>
    </row>
    <row r="583" spans="22:25" x14ac:dyDescent="0.2">
      <c r="V583" s="153"/>
      <c r="W583" s="153"/>
      <c r="X583" s="153"/>
      <c r="Y583" s="153"/>
    </row>
    <row r="584" spans="22:25" x14ac:dyDescent="0.2">
      <c r="V584" s="153"/>
      <c r="W584" s="153"/>
      <c r="X584" s="153"/>
      <c r="Y584" s="153"/>
    </row>
    <row r="585" spans="22:25" x14ac:dyDescent="0.2">
      <c r="V585" s="153"/>
      <c r="W585" s="153"/>
      <c r="X585" s="153"/>
      <c r="Y585" s="153"/>
    </row>
    <row r="586" spans="22:25" x14ac:dyDescent="0.2">
      <c r="V586" s="153"/>
      <c r="W586" s="153"/>
      <c r="X586" s="153"/>
      <c r="Y586" s="153"/>
    </row>
    <row r="587" spans="22:25" x14ac:dyDescent="0.2">
      <c r="V587" s="153"/>
      <c r="W587" s="153"/>
      <c r="X587" s="153"/>
      <c r="Y587" s="153"/>
    </row>
    <row r="588" spans="22:25" x14ac:dyDescent="0.2">
      <c r="V588" s="153"/>
      <c r="W588" s="153"/>
      <c r="X588" s="153"/>
      <c r="Y588" s="153"/>
    </row>
    <row r="589" spans="22:25" x14ac:dyDescent="0.2">
      <c r="V589" s="153"/>
      <c r="W589" s="153"/>
      <c r="X589" s="153"/>
      <c r="Y589" s="153"/>
    </row>
    <row r="590" spans="22:25" x14ac:dyDescent="0.2">
      <c r="V590" s="153"/>
      <c r="W590" s="153"/>
      <c r="X590" s="153"/>
      <c r="Y590" s="153"/>
    </row>
    <row r="591" spans="22:25" x14ac:dyDescent="0.2">
      <c r="V591" s="153"/>
      <c r="W591" s="153"/>
      <c r="X591" s="153"/>
      <c r="Y591" s="153"/>
    </row>
    <row r="592" spans="22:25" x14ac:dyDescent="0.2">
      <c r="V592" s="153"/>
      <c r="W592" s="153"/>
      <c r="X592" s="153"/>
      <c r="Y592" s="153"/>
    </row>
    <row r="593" spans="22:25" x14ac:dyDescent="0.2">
      <c r="V593" s="153"/>
      <c r="W593" s="153"/>
      <c r="X593" s="153"/>
      <c r="Y593" s="153"/>
    </row>
    <row r="594" spans="22:25" x14ac:dyDescent="0.2">
      <c r="V594" s="153"/>
      <c r="W594" s="153"/>
      <c r="X594" s="153"/>
      <c r="Y594" s="153"/>
    </row>
    <row r="595" spans="22:25" x14ac:dyDescent="0.2">
      <c r="V595" s="153"/>
      <c r="W595" s="153"/>
      <c r="X595" s="153"/>
      <c r="Y595" s="153"/>
    </row>
    <row r="596" spans="22:25" x14ac:dyDescent="0.2">
      <c r="V596" s="153"/>
      <c r="W596" s="153"/>
      <c r="X596" s="153"/>
      <c r="Y596" s="153"/>
    </row>
    <row r="597" spans="22:25" x14ac:dyDescent="0.2">
      <c r="V597" s="153"/>
      <c r="W597" s="153"/>
      <c r="X597" s="153"/>
      <c r="Y597" s="153"/>
    </row>
    <row r="598" spans="22:25" x14ac:dyDescent="0.2">
      <c r="V598" s="153"/>
      <c r="W598" s="153"/>
      <c r="X598" s="153"/>
      <c r="Y598" s="153"/>
    </row>
    <row r="599" spans="22:25" x14ac:dyDescent="0.2">
      <c r="V599" s="153"/>
      <c r="W599" s="153"/>
      <c r="X599" s="153"/>
      <c r="Y599" s="153"/>
    </row>
    <row r="600" spans="22:25" x14ac:dyDescent="0.2">
      <c r="V600" s="153"/>
      <c r="W600" s="153"/>
      <c r="X600" s="153"/>
      <c r="Y600" s="153"/>
    </row>
    <row r="601" spans="22:25" x14ac:dyDescent="0.2">
      <c r="V601" s="153"/>
      <c r="W601" s="153"/>
      <c r="X601" s="153"/>
      <c r="Y601" s="153"/>
    </row>
    <row r="602" spans="22:25" x14ac:dyDescent="0.2">
      <c r="V602" s="153"/>
      <c r="W602" s="153"/>
      <c r="X602" s="153"/>
      <c r="Y602" s="153"/>
    </row>
    <row r="603" spans="22:25" x14ac:dyDescent="0.2">
      <c r="V603" s="153"/>
      <c r="W603" s="153"/>
      <c r="X603" s="153"/>
      <c r="Y603" s="153"/>
    </row>
    <row r="604" spans="22:25" x14ac:dyDescent="0.2">
      <c r="V604" s="153"/>
      <c r="W604" s="153"/>
      <c r="X604" s="153"/>
      <c r="Y604" s="153"/>
    </row>
    <row r="605" spans="22:25" x14ac:dyDescent="0.2">
      <c r="V605" s="153"/>
      <c r="W605" s="153"/>
      <c r="X605" s="153"/>
      <c r="Y605" s="153"/>
    </row>
    <row r="606" spans="22:25" x14ac:dyDescent="0.2">
      <c r="V606" s="153"/>
      <c r="W606" s="153"/>
      <c r="X606" s="153"/>
      <c r="Y606" s="153"/>
    </row>
    <row r="607" spans="22:25" x14ac:dyDescent="0.2">
      <c r="V607" s="153"/>
      <c r="W607" s="153"/>
      <c r="X607" s="153"/>
      <c r="Y607" s="153"/>
    </row>
    <row r="608" spans="22:25" x14ac:dyDescent="0.2">
      <c r="V608" s="153"/>
      <c r="W608" s="153"/>
      <c r="X608" s="153"/>
      <c r="Y608" s="153"/>
    </row>
    <row r="609" spans="22:25" x14ac:dyDescent="0.2">
      <c r="V609" s="153"/>
      <c r="W609" s="153"/>
      <c r="X609" s="153"/>
      <c r="Y609" s="153"/>
    </row>
    <row r="610" spans="22:25" x14ac:dyDescent="0.2">
      <c r="V610" s="153"/>
      <c r="W610" s="153"/>
      <c r="X610" s="153"/>
      <c r="Y610" s="153"/>
    </row>
    <row r="611" spans="22:25" x14ac:dyDescent="0.2">
      <c r="V611" s="153"/>
      <c r="W611" s="153"/>
      <c r="X611" s="153"/>
      <c r="Y611" s="153"/>
    </row>
    <row r="612" spans="22:25" x14ac:dyDescent="0.2">
      <c r="V612" s="153"/>
      <c r="W612" s="153"/>
      <c r="X612" s="153"/>
      <c r="Y612" s="153"/>
    </row>
    <row r="613" spans="22:25" x14ac:dyDescent="0.2">
      <c r="V613" s="153"/>
      <c r="W613" s="153"/>
      <c r="X613" s="153"/>
      <c r="Y613" s="153"/>
    </row>
    <row r="614" spans="22:25" x14ac:dyDescent="0.2">
      <c r="V614" s="153"/>
      <c r="W614" s="153"/>
      <c r="X614" s="153"/>
      <c r="Y614" s="153"/>
    </row>
    <row r="615" spans="22:25" x14ac:dyDescent="0.2">
      <c r="V615" s="153"/>
      <c r="W615" s="153"/>
      <c r="X615" s="153"/>
      <c r="Y615" s="153"/>
    </row>
    <row r="616" spans="22:25" x14ac:dyDescent="0.2">
      <c r="V616" s="153"/>
      <c r="W616" s="153"/>
      <c r="X616" s="153"/>
      <c r="Y616" s="153"/>
    </row>
    <row r="617" spans="22:25" x14ac:dyDescent="0.2">
      <c r="V617" s="153"/>
      <c r="W617" s="153"/>
      <c r="X617" s="153"/>
      <c r="Y617" s="153"/>
    </row>
    <row r="618" spans="22:25" x14ac:dyDescent="0.2">
      <c r="V618" s="153"/>
      <c r="W618" s="153"/>
      <c r="X618" s="153"/>
      <c r="Y618" s="153"/>
    </row>
    <row r="619" spans="22:25" x14ac:dyDescent="0.2">
      <c r="V619" s="153"/>
      <c r="W619" s="153"/>
      <c r="X619" s="153"/>
      <c r="Y619" s="153"/>
    </row>
    <row r="620" spans="22:25" x14ac:dyDescent="0.2">
      <c r="V620" s="153"/>
      <c r="W620" s="153"/>
      <c r="X620" s="153"/>
      <c r="Y620" s="153"/>
    </row>
    <row r="621" spans="22:25" x14ac:dyDescent="0.2">
      <c r="V621" s="153"/>
      <c r="W621" s="153"/>
      <c r="X621" s="153"/>
      <c r="Y621" s="153"/>
    </row>
    <row r="622" spans="22:25" x14ac:dyDescent="0.2">
      <c r="V622" s="153"/>
      <c r="W622" s="153"/>
      <c r="X622" s="153"/>
      <c r="Y622" s="153"/>
    </row>
    <row r="623" spans="22:25" x14ac:dyDescent="0.2">
      <c r="V623" s="153"/>
      <c r="W623" s="153"/>
      <c r="X623" s="153"/>
      <c r="Y623" s="153"/>
    </row>
    <row r="624" spans="22:25" x14ac:dyDescent="0.2">
      <c r="V624" s="153"/>
      <c r="W624" s="153"/>
      <c r="X624" s="153"/>
      <c r="Y624" s="153"/>
    </row>
    <row r="625" spans="22:25" x14ac:dyDescent="0.2">
      <c r="V625" s="153"/>
      <c r="W625" s="153"/>
      <c r="X625" s="153"/>
      <c r="Y625" s="153"/>
    </row>
    <row r="626" spans="22:25" x14ac:dyDescent="0.2">
      <c r="V626" s="153"/>
      <c r="W626" s="153"/>
      <c r="X626" s="153"/>
      <c r="Y626" s="153"/>
    </row>
    <row r="627" spans="22:25" x14ac:dyDescent="0.2">
      <c r="V627" s="153"/>
      <c r="W627" s="153"/>
      <c r="X627" s="153"/>
      <c r="Y627" s="153"/>
    </row>
    <row r="628" spans="22:25" x14ac:dyDescent="0.2">
      <c r="V628" s="153"/>
      <c r="W628" s="153"/>
      <c r="X628" s="153"/>
      <c r="Y628" s="153"/>
    </row>
    <row r="629" spans="22:25" x14ac:dyDescent="0.2">
      <c r="V629" s="153"/>
      <c r="W629" s="153"/>
      <c r="X629" s="153"/>
      <c r="Y629" s="153"/>
    </row>
    <row r="630" spans="22:25" x14ac:dyDescent="0.2">
      <c r="V630" s="153"/>
      <c r="W630" s="153"/>
      <c r="X630" s="153"/>
      <c r="Y630" s="153"/>
    </row>
    <row r="631" spans="22:25" x14ac:dyDescent="0.2">
      <c r="V631" s="153"/>
      <c r="W631" s="153"/>
      <c r="X631" s="153"/>
      <c r="Y631" s="153"/>
    </row>
    <row r="632" spans="22:25" x14ac:dyDescent="0.2">
      <c r="V632" s="153"/>
      <c r="W632" s="153"/>
      <c r="X632" s="153"/>
      <c r="Y632" s="153"/>
    </row>
    <row r="633" spans="22:25" x14ac:dyDescent="0.2">
      <c r="V633" s="153"/>
      <c r="W633" s="153"/>
      <c r="X633" s="153"/>
      <c r="Y633" s="153"/>
    </row>
    <row r="634" spans="22:25" x14ac:dyDescent="0.2">
      <c r="V634" s="153"/>
      <c r="W634" s="153"/>
      <c r="X634" s="153"/>
      <c r="Y634" s="153"/>
    </row>
    <row r="635" spans="22:25" x14ac:dyDescent="0.2">
      <c r="V635" s="153"/>
      <c r="W635" s="153"/>
      <c r="X635" s="153"/>
      <c r="Y635" s="153"/>
    </row>
    <row r="636" spans="22:25" x14ac:dyDescent="0.2">
      <c r="V636" s="153"/>
      <c r="W636" s="153"/>
      <c r="X636" s="153"/>
      <c r="Y636" s="153"/>
    </row>
    <row r="637" spans="22:25" x14ac:dyDescent="0.2">
      <c r="V637" s="153"/>
      <c r="W637" s="153"/>
      <c r="X637" s="153"/>
      <c r="Y637" s="153"/>
    </row>
    <row r="638" spans="22:25" x14ac:dyDescent="0.2">
      <c r="V638" s="153"/>
      <c r="W638" s="153"/>
      <c r="X638" s="153"/>
      <c r="Y638" s="153"/>
    </row>
    <row r="639" spans="22:25" x14ac:dyDescent="0.2">
      <c r="V639" s="153"/>
      <c r="W639" s="153"/>
      <c r="X639" s="153"/>
      <c r="Y639" s="153"/>
    </row>
    <row r="640" spans="22:25" x14ac:dyDescent="0.2">
      <c r="V640" s="153"/>
      <c r="W640" s="153"/>
      <c r="X640" s="153"/>
      <c r="Y640" s="153"/>
    </row>
    <row r="641" spans="22:25" x14ac:dyDescent="0.2">
      <c r="V641" s="153"/>
      <c r="W641" s="153"/>
      <c r="X641" s="153"/>
      <c r="Y641" s="153"/>
    </row>
    <row r="642" spans="22:25" x14ac:dyDescent="0.2">
      <c r="V642" s="153"/>
      <c r="W642" s="153"/>
      <c r="X642" s="153"/>
      <c r="Y642" s="153"/>
    </row>
    <row r="643" spans="22:25" x14ac:dyDescent="0.2">
      <c r="V643" s="153"/>
      <c r="W643" s="153"/>
      <c r="X643" s="153"/>
      <c r="Y643" s="153"/>
    </row>
    <row r="644" spans="22:25" x14ac:dyDescent="0.2">
      <c r="V644" s="153"/>
      <c r="W644" s="153"/>
      <c r="X644" s="153"/>
      <c r="Y644" s="153"/>
    </row>
    <row r="645" spans="22:25" x14ac:dyDescent="0.2">
      <c r="V645" s="153"/>
      <c r="W645" s="153"/>
      <c r="X645" s="153"/>
      <c r="Y645" s="153"/>
    </row>
    <row r="646" spans="22:25" x14ac:dyDescent="0.2">
      <c r="V646" s="153"/>
      <c r="W646" s="153"/>
      <c r="X646" s="153"/>
      <c r="Y646" s="153"/>
    </row>
    <row r="647" spans="22:25" x14ac:dyDescent="0.2">
      <c r="V647" s="153"/>
      <c r="W647" s="153"/>
      <c r="X647" s="153"/>
      <c r="Y647" s="153"/>
    </row>
    <row r="648" spans="22:25" x14ac:dyDescent="0.2">
      <c r="V648" s="153"/>
      <c r="W648" s="153"/>
      <c r="X648" s="153"/>
      <c r="Y648" s="153"/>
    </row>
    <row r="649" spans="22:25" x14ac:dyDescent="0.2">
      <c r="V649" s="153"/>
      <c r="W649" s="153"/>
      <c r="X649" s="153"/>
      <c r="Y649" s="153"/>
    </row>
    <row r="650" spans="22:25" x14ac:dyDescent="0.2">
      <c r="V650" s="153"/>
      <c r="W650" s="153"/>
      <c r="X650" s="153"/>
      <c r="Y650" s="153"/>
    </row>
    <row r="651" spans="22:25" x14ac:dyDescent="0.2">
      <c r="V651" s="153"/>
      <c r="W651" s="153"/>
      <c r="X651" s="153"/>
      <c r="Y651" s="153"/>
    </row>
    <row r="652" spans="22:25" x14ac:dyDescent="0.2">
      <c r="V652" s="153"/>
      <c r="W652" s="153"/>
      <c r="X652" s="153"/>
      <c r="Y652" s="153"/>
    </row>
    <row r="653" spans="22:25" x14ac:dyDescent="0.2">
      <c r="V653" s="153"/>
      <c r="W653" s="153"/>
      <c r="X653" s="153"/>
      <c r="Y653" s="153"/>
    </row>
    <row r="654" spans="22:25" x14ac:dyDescent="0.2">
      <c r="V654" s="153"/>
      <c r="W654" s="153"/>
      <c r="X654" s="153"/>
      <c r="Y654" s="153"/>
    </row>
    <row r="655" spans="22:25" x14ac:dyDescent="0.2">
      <c r="V655" s="153"/>
      <c r="W655" s="153"/>
      <c r="X655" s="153"/>
      <c r="Y655" s="153"/>
    </row>
    <row r="656" spans="22:25" x14ac:dyDescent="0.2">
      <c r="V656" s="153"/>
      <c r="W656" s="153"/>
      <c r="X656" s="153"/>
      <c r="Y656" s="153"/>
    </row>
    <row r="657" spans="22:25" x14ac:dyDescent="0.2">
      <c r="V657" s="153"/>
      <c r="W657" s="153"/>
      <c r="X657" s="153"/>
      <c r="Y657" s="153"/>
    </row>
    <row r="658" spans="22:25" x14ac:dyDescent="0.2">
      <c r="V658" s="153"/>
      <c r="W658" s="153"/>
      <c r="X658" s="153"/>
      <c r="Y658" s="153"/>
    </row>
    <row r="659" spans="22:25" x14ac:dyDescent="0.2">
      <c r="V659" s="153"/>
      <c r="W659" s="153"/>
      <c r="X659" s="153"/>
      <c r="Y659" s="153"/>
    </row>
    <row r="660" spans="22:25" x14ac:dyDescent="0.2">
      <c r="V660" s="153"/>
      <c r="W660" s="153"/>
      <c r="X660" s="153"/>
      <c r="Y660" s="153"/>
    </row>
    <row r="661" spans="22:25" x14ac:dyDescent="0.2">
      <c r="V661" s="153"/>
      <c r="W661" s="153"/>
      <c r="X661" s="153"/>
      <c r="Y661" s="153"/>
    </row>
    <row r="662" spans="22:25" x14ac:dyDescent="0.2">
      <c r="V662" s="153"/>
      <c r="W662" s="153"/>
      <c r="X662" s="153"/>
      <c r="Y662" s="153"/>
    </row>
    <row r="663" spans="22:25" x14ac:dyDescent="0.2">
      <c r="V663" s="153"/>
      <c r="W663" s="153"/>
      <c r="X663" s="153"/>
      <c r="Y663" s="153"/>
    </row>
    <row r="664" spans="22:25" x14ac:dyDescent="0.2">
      <c r="V664" s="153"/>
      <c r="W664" s="153"/>
      <c r="X664" s="153"/>
      <c r="Y664" s="153"/>
    </row>
    <row r="665" spans="22:25" x14ac:dyDescent="0.2">
      <c r="V665" s="153"/>
      <c r="W665" s="153"/>
      <c r="X665" s="153"/>
      <c r="Y665" s="153"/>
    </row>
    <row r="666" spans="22:25" x14ac:dyDescent="0.2">
      <c r="V666" s="153"/>
      <c r="W666" s="153"/>
      <c r="X666" s="153"/>
      <c r="Y666" s="153"/>
    </row>
    <row r="667" spans="22:25" x14ac:dyDescent="0.2">
      <c r="V667" s="153"/>
      <c r="W667" s="153"/>
      <c r="X667" s="153"/>
      <c r="Y667" s="153"/>
    </row>
    <row r="668" spans="22:25" x14ac:dyDescent="0.2">
      <c r="V668" s="153"/>
      <c r="W668" s="153"/>
      <c r="X668" s="153"/>
      <c r="Y668" s="153"/>
    </row>
    <row r="669" spans="22:25" x14ac:dyDescent="0.2">
      <c r="V669" s="153"/>
      <c r="W669" s="153"/>
      <c r="X669" s="153"/>
      <c r="Y669" s="153"/>
    </row>
    <row r="670" spans="22:25" x14ac:dyDescent="0.2">
      <c r="V670" s="153"/>
      <c r="W670" s="153"/>
      <c r="X670" s="153"/>
      <c r="Y670" s="153"/>
    </row>
    <row r="671" spans="22:25" x14ac:dyDescent="0.2">
      <c r="V671" s="153"/>
      <c r="W671" s="153"/>
      <c r="X671" s="153"/>
      <c r="Y671" s="153"/>
    </row>
    <row r="672" spans="22:25" x14ac:dyDescent="0.2">
      <c r="V672" s="153"/>
      <c r="W672" s="153"/>
      <c r="X672" s="153"/>
      <c r="Y672" s="153"/>
    </row>
    <row r="673" spans="22:25" x14ac:dyDescent="0.2">
      <c r="V673" s="153"/>
      <c r="W673" s="153"/>
      <c r="X673" s="153"/>
      <c r="Y673" s="153"/>
    </row>
    <row r="674" spans="22:25" x14ac:dyDescent="0.2">
      <c r="V674" s="153"/>
      <c r="W674" s="153"/>
      <c r="X674" s="153"/>
      <c r="Y674" s="153"/>
    </row>
    <row r="675" spans="22:25" x14ac:dyDescent="0.2">
      <c r="V675" s="153"/>
      <c r="W675" s="153"/>
      <c r="X675" s="153"/>
      <c r="Y675" s="153"/>
    </row>
    <row r="676" spans="22:25" x14ac:dyDescent="0.2">
      <c r="V676" s="153"/>
      <c r="W676" s="153"/>
      <c r="X676" s="153"/>
      <c r="Y676" s="153"/>
    </row>
    <row r="677" spans="22:25" x14ac:dyDescent="0.2">
      <c r="V677" s="153"/>
      <c r="W677" s="153"/>
      <c r="X677" s="153"/>
      <c r="Y677" s="153"/>
    </row>
    <row r="678" spans="22:25" x14ac:dyDescent="0.2">
      <c r="V678" s="153"/>
      <c r="W678" s="153"/>
      <c r="X678" s="153"/>
      <c r="Y678" s="153"/>
    </row>
    <row r="679" spans="22:25" x14ac:dyDescent="0.2">
      <c r="V679" s="153"/>
      <c r="W679" s="153"/>
      <c r="X679" s="153"/>
      <c r="Y679" s="153"/>
    </row>
    <row r="680" spans="22:25" x14ac:dyDescent="0.2">
      <c r="V680" s="153"/>
      <c r="W680" s="153"/>
      <c r="X680" s="153"/>
      <c r="Y680" s="153"/>
    </row>
    <row r="681" spans="22:25" x14ac:dyDescent="0.2">
      <c r="V681" s="153"/>
      <c r="W681" s="153"/>
      <c r="X681" s="153"/>
      <c r="Y681" s="153"/>
    </row>
    <row r="682" spans="22:25" x14ac:dyDescent="0.2">
      <c r="V682" s="153"/>
      <c r="W682" s="153"/>
      <c r="X682" s="153"/>
      <c r="Y682" s="153"/>
    </row>
    <row r="683" spans="22:25" x14ac:dyDescent="0.2">
      <c r="V683" s="153"/>
      <c r="W683" s="153"/>
      <c r="X683" s="153"/>
      <c r="Y683" s="153"/>
    </row>
    <row r="684" spans="22:25" x14ac:dyDescent="0.2">
      <c r="V684" s="153"/>
      <c r="W684" s="153"/>
      <c r="X684" s="153"/>
      <c r="Y684" s="153"/>
    </row>
    <row r="685" spans="22:25" x14ac:dyDescent="0.2">
      <c r="V685" s="153"/>
      <c r="W685" s="153"/>
      <c r="X685" s="153"/>
      <c r="Y685" s="153"/>
    </row>
    <row r="686" spans="22:25" x14ac:dyDescent="0.2">
      <c r="V686" s="153"/>
      <c r="W686" s="153"/>
      <c r="X686" s="153"/>
      <c r="Y686" s="153"/>
    </row>
    <row r="687" spans="22:25" x14ac:dyDescent="0.2">
      <c r="V687" s="153"/>
      <c r="W687" s="153"/>
      <c r="X687" s="153"/>
      <c r="Y687" s="153"/>
    </row>
    <row r="688" spans="22:25" x14ac:dyDescent="0.2">
      <c r="V688" s="153"/>
      <c r="W688" s="153"/>
      <c r="X688" s="153"/>
      <c r="Y688" s="153"/>
    </row>
    <row r="689" spans="22:25" x14ac:dyDescent="0.2">
      <c r="V689" s="153"/>
      <c r="W689" s="153"/>
      <c r="X689" s="153"/>
      <c r="Y689" s="153"/>
    </row>
    <row r="690" spans="22:25" x14ac:dyDescent="0.2">
      <c r="V690" s="153"/>
      <c r="W690" s="153"/>
      <c r="X690" s="153"/>
      <c r="Y690" s="153"/>
    </row>
    <row r="691" spans="22:25" x14ac:dyDescent="0.2">
      <c r="V691" s="153"/>
      <c r="W691" s="153"/>
      <c r="X691" s="153"/>
      <c r="Y691" s="153"/>
    </row>
    <row r="692" spans="22:25" x14ac:dyDescent="0.2">
      <c r="V692" s="153"/>
      <c r="W692" s="153"/>
      <c r="X692" s="153"/>
      <c r="Y692" s="153"/>
    </row>
    <row r="693" spans="22:25" x14ac:dyDescent="0.2">
      <c r="V693" s="153"/>
      <c r="W693" s="153"/>
      <c r="X693" s="153"/>
      <c r="Y693" s="153"/>
    </row>
    <row r="694" spans="22:25" x14ac:dyDescent="0.2">
      <c r="V694" s="153"/>
      <c r="W694" s="153"/>
      <c r="X694" s="153"/>
      <c r="Y694" s="153"/>
    </row>
    <row r="695" spans="22:25" x14ac:dyDescent="0.2">
      <c r="V695" s="153"/>
      <c r="W695" s="153"/>
      <c r="X695" s="153"/>
      <c r="Y695" s="153"/>
    </row>
    <row r="696" spans="22:25" x14ac:dyDescent="0.2">
      <c r="V696" s="153"/>
      <c r="W696" s="153"/>
      <c r="X696" s="153"/>
      <c r="Y696" s="153"/>
    </row>
    <row r="697" spans="22:25" x14ac:dyDescent="0.2">
      <c r="V697" s="153"/>
      <c r="W697" s="153"/>
      <c r="X697" s="153"/>
      <c r="Y697" s="153"/>
    </row>
    <row r="698" spans="22:25" x14ac:dyDescent="0.2">
      <c r="V698" s="153"/>
      <c r="W698" s="153"/>
      <c r="X698" s="153"/>
      <c r="Y698" s="153"/>
    </row>
    <row r="699" spans="22:25" x14ac:dyDescent="0.2">
      <c r="V699" s="153"/>
      <c r="W699" s="153"/>
      <c r="X699" s="153"/>
      <c r="Y699" s="153"/>
    </row>
    <row r="700" spans="22:25" x14ac:dyDescent="0.2">
      <c r="V700" s="153"/>
      <c r="W700" s="153"/>
      <c r="X700" s="153"/>
      <c r="Y700" s="153"/>
    </row>
    <row r="701" spans="22:25" x14ac:dyDescent="0.2">
      <c r="V701" s="153"/>
      <c r="W701" s="153"/>
      <c r="X701" s="153"/>
      <c r="Y701" s="153"/>
    </row>
    <row r="702" spans="22:25" x14ac:dyDescent="0.2">
      <c r="V702" s="153"/>
      <c r="W702" s="153"/>
      <c r="X702" s="153"/>
      <c r="Y702" s="153"/>
    </row>
    <row r="703" spans="22:25" x14ac:dyDescent="0.2">
      <c r="V703" s="153"/>
      <c r="W703" s="153"/>
      <c r="X703" s="153"/>
      <c r="Y703" s="153"/>
    </row>
    <row r="704" spans="22:25" x14ac:dyDescent="0.2">
      <c r="V704" s="153"/>
      <c r="W704" s="153"/>
      <c r="X704" s="153"/>
      <c r="Y704" s="153"/>
    </row>
    <row r="705" spans="22:25" x14ac:dyDescent="0.2">
      <c r="V705" s="153"/>
      <c r="W705" s="153"/>
      <c r="X705" s="153"/>
      <c r="Y705" s="153"/>
    </row>
    <row r="706" spans="22:25" x14ac:dyDescent="0.2">
      <c r="V706" s="153"/>
      <c r="W706" s="153"/>
      <c r="X706" s="153"/>
      <c r="Y706" s="153"/>
    </row>
    <row r="707" spans="22:25" x14ac:dyDescent="0.2">
      <c r="V707" s="153"/>
      <c r="W707" s="153"/>
      <c r="X707" s="153"/>
      <c r="Y707" s="153"/>
    </row>
    <row r="708" spans="22:25" x14ac:dyDescent="0.2">
      <c r="V708" s="153"/>
      <c r="W708" s="153"/>
      <c r="X708" s="153"/>
      <c r="Y708" s="153"/>
    </row>
    <row r="709" spans="22:25" x14ac:dyDescent="0.2">
      <c r="V709" s="153"/>
      <c r="W709" s="153"/>
      <c r="X709" s="153"/>
      <c r="Y709" s="153"/>
    </row>
    <row r="710" spans="22:25" x14ac:dyDescent="0.2">
      <c r="V710" s="153"/>
      <c r="W710" s="153"/>
      <c r="X710" s="153"/>
      <c r="Y710" s="153"/>
    </row>
    <row r="711" spans="22:25" x14ac:dyDescent="0.2">
      <c r="V711" s="153"/>
      <c r="W711" s="153"/>
      <c r="X711" s="153"/>
      <c r="Y711" s="153"/>
    </row>
    <row r="712" spans="22:25" x14ac:dyDescent="0.2">
      <c r="V712" s="153"/>
      <c r="W712" s="153"/>
      <c r="X712" s="153"/>
      <c r="Y712" s="153"/>
    </row>
    <row r="713" spans="22:25" x14ac:dyDescent="0.2">
      <c r="V713" s="153"/>
      <c r="W713" s="153"/>
      <c r="X713" s="153"/>
      <c r="Y713" s="153"/>
    </row>
    <row r="714" spans="22:25" x14ac:dyDescent="0.2">
      <c r="V714" s="153"/>
      <c r="W714" s="153"/>
      <c r="X714" s="153"/>
      <c r="Y714" s="153"/>
    </row>
    <row r="715" spans="22:25" x14ac:dyDescent="0.2">
      <c r="V715" s="153"/>
      <c r="W715" s="153"/>
      <c r="X715" s="153"/>
      <c r="Y715" s="153"/>
    </row>
    <row r="716" spans="22:25" x14ac:dyDescent="0.2">
      <c r="V716" s="153"/>
      <c r="W716" s="153"/>
      <c r="X716" s="153"/>
      <c r="Y716" s="153"/>
    </row>
    <row r="717" spans="22:25" x14ac:dyDescent="0.2">
      <c r="V717" s="153"/>
      <c r="W717" s="153"/>
      <c r="X717" s="153"/>
      <c r="Y717" s="153"/>
    </row>
    <row r="718" spans="22:25" x14ac:dyDescent="0.2">
      <c r="V718" s="153"/>
      <c r="W718" s="153"/>
      <c r="X718" s="153"/>
      <c r="Y718" s="153"/>
    </row>
    <row r="719" spans="22:25" x14ac:dyDescent="0.2">
      <c r="V719" s="153"/>
      <c r="W719" s="153"/>
      <c r="X719" s="153"/>
      <c r="Y719" s="153"/>
    </row>
    <row r="720" spans="22:25" x14ac:dyDescent="0.2">
      <c r="V720" s="153"/>
      <c r="W720" s="153"/>
      <c r="X720" s="153"/>
      <c r="Y720" s="153"/>
    </row>
    <row r="721" spans="22:25" x14ac:dyDescent="0.2">
      <c r="V721" s="153"/>
      <c r="W721" s="153"/>
      <c r="X721" s="153"/>
      <c r="Y721" s="153"/>
    </row>
    <row r="722" spans="22:25" x14ac:dyDescent="0.2">
      <c r="V722" s="153"/>
      <c r="W722" s="153"/>
      <c r="X722" s="153"/>
      <c r="Y722" s="153"/>
    </row>
    <row r="723" spans="22:25" x14ac:dyDescent="0.2">
      <c r="V723" s="153"/>
      <c r="W723" s="153"/>
      <c r="X723" s="153"/>
      <c r="Y723" s="153"/>
    </row>
    <row r="724" spans="22:25" x14ac:dyDescent="0.2">
      <c r="V724" s="153"/>
      <c r="W724" s="153"/>
      <c r="X724" s="153"/>
      <c r="Y724" s="153"/>
    </row>
    <row r="725" spans="22:25" x14ac:dyDescent="0.2">
      <c r="V725" s="153"/>
      <c r="W725" s="153"/>
      <c r="X725" s="153"/>
      <c r="Y725" s="153"/>
    </row>
    <row r="726" spans="22:25" x14ac:dyDescent="0.2">
      <c r="V726" s="153"/>
      <c r="W726" s="153"/>
      <c r="X726" s="153"/>
      <c r="Y726" s="153"/>
    </row>
    <row r="727" spans="22:25" x14ac:dyDescent="0.2">
      <c r="V727" s="153"/>
      <c r="W727" s="153"/>
      <c r="X727" s="153"/>
      <c r="Y727" s="153"/>
    </row>
    <row r="728" spans="22:25" x14ac:dyDescent="0.2">
      <c r="V728" s="153"/>
      <c r="W728" s="153"/>
      <c r="X728" s="153"/>
      <c r="Y728" s="153"/>
    </row>
    <row r="729" spans="22:25" x14ac:dyDescent="0.2">
      <c r="V729" s="153"/>
      <c r="W729" s="153"/>
      <c r="X729" s="153"/>
      <c r="Y729" s="153"/>
    </row>
    <row r="730" spans="22:25" x14ac:dyDescent="0.2">
      <c r="V730" s="153"/>
      <c r="W730" s="153"/>
      <c r="X730" s="153"/>
      <c r="Y730" s="153"/>
    </row>
    <row r="731" spans="22:25" x14ac:dyDescent="0.2">
      <c r="V731" s="153"/>
      <c r="W731" s="153"/>
      <c r="X731" s="153"/>
      <c r="Y731" s="153"/>
    </row>
    <row r="732" spans="22:25" x14ac:dyDescent="0.2">
      <c r="V732" s="153"/>
      <c r="W732" s="153"/>
      <c r="X732" s="153"/>
      <c r="Y732" s="153"/>
    </row>
    <row r="733" spans="22:25" x14ac:dyDescent="0.2">
      <c r="V733" s="153"/>
      <c r="W733" s="153"/>
      <c r="X733" s="153"/>
      <c r="Y733" s="153"/>
    </row>
    <row r="734" spans="22:25" x14ac:dyDescent="0.2">
      <c r="V734" s="153"/>
      <c r="W734" s="153"/>
      <c r="X734" s="153"/>
      <c r="Y734" s="153"/>
    </row>
    <row r="735" spans="22:25" x14ac:dyDescent="0.2">
      <c r="V735" s="153"/>
      <c r="W735" s="153"/>
      <c r="X735" s="153"/>
      <c r="Y735" s="153"/>
    </row>
    <row r="736" spans="22:25" x14ac:dyDescent="0.2">
      <c r="V736" s="153"/>
      <c r="W736" s="153"/>
      <c r="X736" s="153"/>
      <c r="Y736" s="153"/>
    </row>
    <row r="737" spans="22:25" x14ac:dyDescent="0.2">
      <c r="V737" s="153"/>
      <c r="W737" s="153"/>
      <c r="X737" s="153"/>
      <c r="Y737" s="153"/>
    </row>
    <row r="738" spans="22:25" x14ac:dyDescent="0.2">
      <c r="V738" s="153"/>
      <c r="W738" s="153"/>
      <c r="X738" s="153"/>
      <c r="Y738" s="153"/>
    </row>
    <row r="739" spans="22:25" x14ac:dyDescent="0.2">
      <c r="V739" s="153"/>
      <c r="W739" s="153"/>
      <c r="X739" s="153"/>
      <c r="Y739" s="153"/>
    </row>
    <row r="740" spans="22:25" x14ac:dyDescent="0.2">
      <c r="V740" s="153"/>
      <c r="W740" s="153"/>
      <c r="X740" s="153"/>
      <c r="Y740" s="153"/>
    </row>
    <row r="741" spans="22:25" x14ac:dyDescent="0.2">
      <c r="V741" s="153"/>
      <c r="W741" s="153"/>
      <c r="X741" s="153"/>
      <c r="Y741" s="153"/>
    </row>
    <row r="742" spans="22:25" x14ac:dyDescent="0.2">
      <c r="V742" s="153"/>
      <c r="W742" s="153"/>
      <c r="X742" s="153"/>
      <c r="Y742" s="153"/>
    </row>
    <row r="743" spans="22:25" x14ac:dyDescent="0.2">
      <c r="V743" s="153"/>
      <c r="W743" s="153"/>
      <c r="X743" s="153"/>
      <c r="Y743" s="153"/>
    </row>
    <row r="744" spans="22:25" x14ac:dyDescent="0.2">
      <c r="V744" s="153"/>
      <c r="W744" s="153"/>
      <c r="X744" s="153"/>
      <c r="Y744" s="153"/>
    </row>
    <row r="745" spans="22:25" x14ac:dyDescent="0.2">
      <c r="V745" s="153"/>
      <c r="W745" s="153"/>
      <c r="X745" s="153"/>
      <c r="Y745" s="153"/>
    </row>
    <row r="746" spans="22:25" x14ac:dyDescent="0.2">
      <c r="V746" s="153"/>
      <c r="W746" s="153"/>
      <c r="X746" s="153"/>
      <c r="Y746" s="153"/>
    </row>
    <row r="747" spans="22:25" x14ac:dyDescent="0.2">
      <c r="V747" s="153"/>
      <c r="W747" s="153"/>
      <c r="X747" s="153"/>
      <c r="Y747" s="153"/>
    </row>
    <row r="748" spans="22:25" x14ac:dyDescent="0.2">
      <c r="V748" s="153"/>
      <c r="W748" s="153"/>
      <c r="X748" s="153"/>
      <c r="Y748" s="153"/>
    </row>
    <row r="749" spans="22:25" x14ac:dyDescent="0.2">
      <c r="V749" s="153"/>
      <c r="W749" s="153"/>
      <c r="X749" s="153"/>
      <c r="Y749" s="153"/>
    </row>
    <row r="750" spans="22:25" x14ac:dyDescent="0.2">
      <c r="V750" s="153"/>
      <c r="W750" s="153"/>
      <c r="X750" s="153"/>
      <c r="Y750" s="153"/>
    </row>
    <row r="751" spans="22:25" x14ac:dyDescent="0.2">
      <c r="V751" s="153"/>
      <c r="W751" s="153"/>
      <c r="X751" s="153"/>
      <c r="Y751" s="153"/>
    </row>
    <row r="752" spans="22:25" x14ac:dyDescent="0.2">
      <c r="V752" s="153"/>
      <c r="W752" s="153"/>
      <c r="X752" s="153"/>
      <c r="Y752" s="153"/>
    </row>
    <row r="753" spans="22:25" x14ac:dyDescent="0.2">
      <c r="V753" s="153"/>
      <c r="W753" s="153"/>
      <c r="X753" s="153"/>
      <c r="Y753" s="153"/>
    </row>
    <row r="754" spans="22:25" x14ac:dyDescent="0.2">
      <c r="V754" s="153"/>
      <c r="W754" s="153"/>
      <c r="X754" s="153"/>
      <c r="Y754" s="153"/>
    </row>
    <row r="755" spans="22:25" x14ac:dyDescent="0.2">
      <c r="V755" s="153"/>
      <c r="W755" s="153"/>
      <c r="X755" s="153"/>
      <c r="Y755" s="153"/>
    </row>
    <row r="756" spans="22:25" x14ac:dyDescent="0.2">
      <c r="V756" s="153"/>
      <c r="W756" s="153"/>
      <c r="X756" s="153"/>
      <c r="Y756" s="153"/>
    </row>
    <row r="757" spans="22:25" x14ac:dyDescent="0.2">
      <c r="V757" s="153"/>
      <c r="W757" s="153"/>
      <c r="X757" s="153"/>
      <c r="Y757" s="153"/>
    </row>
    <row r="758" spans="22:25" x14ac:dyDescent="0.2">
      <c r="V758" s="153"/>
      <c r="W758" s="153"/>
      <c r="X758" s="153"/>
      <c r="Y758" s="153"/>
    </row>
    <row r="759" spans="22:25" x14ac:dyDescent="0.2">
      <c r="V759" s="153"/>
      <c r="W759" s="153"/>
      <c r="X759" s="153"/>
      <c r="Y759" s="153"/>
    </row>
    <row r="760" spans="22:25" x14ac:dyDescent="0.2">
      <c r="V760" s="153"/>
      <c r="W760" s="153"/>
      <c r="X760" s="153"/>
      <c r="Y760" s="153"/>
    </row>
    <row r="761" spans="22:25" x14ac:dyDescent="0.2">
      <c r="V761" s="153"/>
      <c r="W761" s="153"/>
      <c r="X761" s="153"/>
      <c r="Y761" s="153"/>
    </row>
    <row r="762" spans="22:25" x14ac:dyDescent="0.2">
      <c r="V762" s="153"/>
      <c r="W762" s="153"/>
      <c r="X762" s="153"/>
      <c r="Y762" s="153"/>
    </row>
    <row r="763" spans="22:25" x14ac:dyDescent="0.2">
      <c r="V763" s="153"/>
      <c r="W763" s="153"/>
      <c r="X763" s="153"/>
      <c r="Y763" s="153"/>
    </row>
    <row r="764" spans="22:25" x14ac:dyDescent="0.2">
      <c r="V764" s="153"/>
      <c r="W764" s="153"/>
      <c r="X764" s="153"/>
      <c r="Y764" s="153"/>
    </row>
    <row r="765" spans="22:25" x14ac:dyDescent="0.2">
      <c r="V765" s="153"/>
      <c r="W765" s="153"/>
      <c r="X765" s="153"/>
      <c r="Y765" s="153"/>
    </row>
    <row r="766" spans="22:25" x14ac:dyDescent="0.2">
      <c r="V766" s="153"/>
      <c r="W766" s="153"/>
      <c r="X766" s="153"/>
      <c r="Y766" s="153"/>
    </row>
    <row r="767" spans="22:25" x14ac:dyDescent="0.2">
      <c r="V767" s="153"/>
      <c r="W767" s="153"/>
      <c r="X767" s="153"/>
      <c r="Y767" s="153"/>
    </row>
    <row r="768" spans="22:25" x14ac:dyDescent="0.2">
      <c r="V768" s="153"/>
      <c r="W768" s="153"/>
      <c r="X768" s="153"/>
      <c r="Y768" s="153"/>
    </row>
    <row r="769" spans="22:25" x14ac:dyDescent="0.2">
      <c r="V769" s="153"/>
      <c r="W769" s="153"/>
      <c r="X769" s="153"/>
      <c r="Y769" s="153"/>
    </row>
    <row r="770" spans="22:25" x14ac:dyDescent="0.2">
      <c r="V770" s="153"/>
      <c r="W770" s="153"/>
      <c r="X770" s="153"/>
      <c r="Y770" s="153"/>
    </row>
    <row r="771" spans="22:25" x14ac:dyDescent="0.2">
      <c r="V771" s="153"/>
      <c r="W771" s="153"/>
      <c r="X771" s="153"/>
      <c r="Y771" s="153"/>
    </row>
    <row r="772" spans="22:25" x14ac:dyDescent="0.2">
      <c r="V772" s="153"/>
      <c r="W772" s="153"/>
      <c r="X772" s="153"/>
      <c r="Y772" s="153"/>
    </row>
    <row r="773" spans="22:25" x14ac:dyDescent="0.2">
      <c r="V773" s="153"/>
      <c r="W773" s="153"/>
      <c r="X773" s="153"/>
      <c r="Y773" s="153"/>
    </row>
    <row r="774" spans="22:25" x14ac:dyDescent="0.2">
      <c r="V774" s="153"/>
      <c r="W774" s="153"/>
      <c r="X774" s="153"/>
      <c r="Y774" s="153"/>
    </row>
    <row r="775" spans="22:25" x14ac:dyDescent="0.2">
      <c r="V775" s="153"/>
      <c r="W775" s="153"/>
      <c r="X775" s="153"/>
      <c r="Y775" s="153"/>
    </row>
    <row r="776" spans="22:25" x14ac:dyDescent="0.2">
      <c r="V776" s="153"/>
      <c r="W776" s="153"/>
      <c r="X776" s="153"/>
      <c r="Y776" s="153"/>
    </row>
    <row r="777" spans="22:25" x14ac:dyDescent="0.2">
      <c r="V777" s="153"/>
      <c r="W777" s="153"/>
      <c r="X777" s="153"/>
      <c r="Y777" s="153"/>
    </row>
    <row r="778" spans="22:25" x14ac:dyDescent="0.2">
      <c r="V778" s="153"/>
      <c r="W778" s="153"/>
      <c r="X778" s="153"/>
      <c r="Y778" s="153"/>
    </row>
    <row r="779" spans="22:25" x14ac:dyDescent="0.2">
      <c r="V779" s="153"/>
      <c r="W779" s="153"/>
      <c r="X779" s="153"/>
      <c r="Y779" s="153"/>
    </row>
    <row r="780" spans="22:25" x14ac:dyDescent="0.2">
      <c r="V780" s="153"/>
      <c r="W780" s="153"/>
      <c r="X780" s="153"/>
      <c r="Y780" s="153"/>
    </row>
    <row r="781" spans="22:25" x14ac:dyDescent="0.2">
      <c r="V781" s="153"/>
      <c r="W781" s="153"/>
      <c r="X781" s="153"/>
      <c r="Y781" s="153"/>
    </row>
    <row r="782" spans="22:25" x14ac:dyDescent="0.2">
      <c r="V782" s="153"/>
      <c r="W782" s="153"/>
      <c r="X782" s="153"/>
      <c r="Y782" s="153"/>
    </row>
    <row r="783" spans="22:25" x14ac:dyDescent="0.2">
      <c r="V783" s="153"/>
      <c r="W783" s="153"/>
      <c r="X783" s="153"/>
      <c r="Y783" s="153"/>
    </row>
    <row r="784" spans="22:25" x14ac:dyDescent="0.2">
      <c r="V784" s="153"/>
      <c r="W784" s="153"/>
      <c r="X784" s="153"/>
      <c r="Y784" s="153"/>
    </row>
    <row r="785" spans="22:25" x14ac:dyDescent="0.2">
      <c r="V785" s="153"/>
      <c r="W785" s="153"/>
      <c r="X785" s="153"/>
      <c r="Y785" s="153"/>
    </row>
    <row r="786" spans="22:25" x14ac:dyDescent="0.2">
      <c r="V786" s="153"/>
      <c r="W786" s="153"/>
      <c r="X786" s="153"/>
      <c r="Y786" s="153"/>
    </row>
    <row r="787" spans="22:25" x14ac:dyDescent="0.2">
      <c r="V787" s="153"/>
      <c r="W787" s="153"/>
      <c r="X787" s="153"/>
      <c r="Y787" s="153"/>
    </row>
    <row r="788" spans="22:25" x14ac:dyDescent="0.2">
      <c r="V788" s="153"/>
      <c r="W788" s="153"/>
      <c r="X788" s="153"/>
      <c r="Y788" s="153"/>
    </row>
    <row r="789" spans="22:25" x14ac:dyDescent="0.2">
      <c r="V789" s="153"/>
      <c r="W789" s="153"/>
      <c r="X789" s="153"/>
      <c r="Y789" s="153"/>
    </row>
    <row r="790" spans="22:25" x14ac:dyDescent="0.2">
      <c r="V790" s="153"/>
      <c r="W790" s="153"/>
      <c r="X790" s="153"/>
      <c r="Y790" s="153"/>
    </row>
  </sheetData>
  <printOptions horizontalCentered="1" verticalCentered="1"/>
  <pageMargins left="0.31496062992125984" right="0.11811023622047245" top="0.74803149606299213" bottom="0.74803149606299213" header="0.31496062992125984" footer="0.31496062992125984"/>
  <pageSetup scale="37" fitToHeight="22" orientation="landscape" r:id="rId1"/>
  <headerFooter>
    <oddFooter>&amp;C&amp;14&amp;P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showGridLines="0" topLeftCell="A8" workbookViewId="0">
      <selection activeCell="H40" sqref="H40"/>
    </sheetView>
  </sheetViews>
  <sheetFormatPr baseColWidth="10" defaultRowHeight="12.75" x14ac:dyDescent="0.2"/>
  <cols>
    <col min="1" max="1" width="23.85546875" customWidth="1"/>
    <col min="2" max="2" width="9.7109375" customWidth="1"/>
    <col min="3" max="3" width="14.5703125" customWidth="1"/>
    <col min="4" max="4" width="13.5703125" customWidth="1"/>
    <col min="5" max="5" width="13" customWidth="1"/>
    <col min="6" max="6" width="12.42578125" customWidth="1"/>
    <col min="7" max="7" width="8.85546875" customWidth="1"/>
    <col min="8" max="8" width="10.7109375" customWidth="1"/>
  </cols>
  <sheetData>
    <row r="1" spans="1:8" ht="13.5" thickBot="1" x14ac:dyDescent="0.25"/>
    <row r="2" spans="1:8" ht="13.5" thickBot="1" x14ac:dyDescent="0.25">
      <c r="A2" s="408" t="s">
        <v>1582</v>
      </c>
      <c r="B2" s="409" t="s">
        <v>1599</v>
      </c>
      <c r="C2" s="409"/>
      <c r="D2" s="409"/>
      <c r="E2" s="409"/>
      <c r="F2" s="409"/>
      <c r="G2" s="409"/>
      <c r="H2" s="409"/>
    </row>
    <row r="3" spans="1:8" ht="38.25" customHeight="1" thickBot="1" x14ac:dyDescent="0.25">
      <c r="A3" s="408"/>
      <c r="B3" s="370" t="s">
        <v>1576</v>
      </c>
      <c r="C3" s="370" t="s">
        <v>1598</v>
      </c>
      <c r="D3" s="370" t="s">
        <v>1597</v>
      </c>
      <c r="E3" s="370" t="s">
        <v>1596</v>
      </c>
      <c r="F3" s="370" t="s">
        <v>1595</v>
      </c>
      <c r="G3" s="370" t="s">
        <v>1594</v>
      </c>
      <c r="H3" s="370" t="s">
        <v>1593</v>
      </c>
    </row>
    <row r="4" spans="1:8" ht="13.5" thickBot="1" x14ac:dyDescent="0.25">
      <c r="A4" s="369" t="s">
        <v>220</v>
      </c>
      <c r="B4" s="368">
        <f t="shared" ref="B4:B39" si="0">SUM(C4:H4)</f>
        <v>5</v>
      </c>
      <c r="C4" s="367">
        <v>1</v>
      </c>
      <c r="D4" s="367">
        <v>3</v>
      </c>
      <c r="E4" s="367">
        <v>1</v>
      </c>
      <c r="F4" s="367"/>
      <c r="G4" s="366"/>
      <c r="H4" s="366"/>
    </row>
    <row r="5" spans="1:8" ht="13.5" thickBot="1" x14ac:dyDescent="0.25">
      <c r="A5" s="363" t="s">
        <v>224</v>
      </c>
      <c r="B5" s="361">
        <f t="shared" si="0"/>
        <v>3</v>
      </c>
      <c r="C5" s="360">
        <v>1</v>
      </c>
      <c r="D5" s="360">
        <v>1</v>
      </c>
      <c r="E5" s="360">
        <v>1</v>
      </c>
      <c r="F5" s="360"/>
      <c r="G5" s="359"/>
      <c r="H5" s="359"/>
    </row>
    <row r="6" spans="1:8" ht="13.5" thickBot="1" x14ac:dyDescent="0.25">
      <c r="A6" s="363" t="s">
        <v>229</v>
      </c>
      <c r="B6" s="361">
        <f t="shared" si="0"/>
        <v>5</v>
      </c>
      <c r="C6" s="360">
        <v>1</v>
      </c>
      <c r="D6" s="360">
        <v>4</v>
      </c>
      <c r="E6" s="360"/>
      <c r="F6" s="360"/>
      <c r="G6" s="359"/>
      <c r="H6" s="359"/>
    </row>
    <row r="7" spans="1:8" ht="13.5" thickBot="1" x14ac:dyDescent="0.25">
      <c r="A7" s="363" t="s">
        <v>1493</v>
      </c>
      <c r="B7" s="361">
        <f t="shared" si="0"/>
        <v>1</v>
      </c>
      <c r="C7" s="360"/>
      <c r="D7" s="360">
        <v>1</v>
      </c>
      <c r="E7" s="360"/>
      <c r="F7" s="360"/>
      <c r="G7" s="359"/>
      <c r="H7" s="359"/>
    </row>
    <row r="8" spans="1:8" ht="13.5" thickBot="1" x14ac:dyDescent="0.25">
      <c r="A8" s="358" t="s">
        <v>258</v>
      </c>
      <c r="B8" s="357">
        <f t="shared" si="0"/>
        <v>10</v>
      </c>
      <c r="C8" s="356">
        <v>2</v>
      </c>
      <c r="D8" s="356">
        <v>7</v>
      </c>
      <c r="E8" s="356">
        <v>1</v>
      </c>
      <c r="F8" s="356"/>
      <c r="G8" s="355"/>
      <c r="H8" s="355"/>
    </row>
    <row r="9" spans="1:8" ht="13.5" thickBot="1" x14ac:dyDescent="0.25">
      <c r="A9" s="363" t="s">
        <v>270</v>
      </c>
      <c r="B9" s="361">
        <f t="shared" si="0"/>
        <v>4</v>
      </c>
      <c r="C9" s="360">
        <v>3</v>
      </c>
      <c r="D9" s="360">
        <v>1</v>
      </c>
      <c r="E9" s="360"/>
      <c r="F9" s="360"/>
      <c r="G9" s="359"/>
      <c r="H9" s="359"/>
    </row>
    <row r="10" spans="1:8" ht="13.5" thickBot="1" x14ac:dyDescent="0.25">
      <c r="A10" s="363" t="s">
        <v>233</v>
      </c>
      <c r="B10" s="361">
        <f t="shared" si="0"/>
        <v>7</v>
      </c>
      <c r="C10" s="360">
        <v>2</v>
      </c>
      <c r="D10" s="360">
        <v>2</v>
      </c>
      <c r="E10" s="360">
        <v>3</v>
      </c>
      <c r="F10" s="360"/>
      <c r="G10" s="359"/>
      <c r="H10" s="359"/>
    </row>
    <row r="11" spans="1:8" ht="13.5" thickBot="1" x14ac:dyDescent="0.25">
      <c r="A11" s="363" t="s">
        <v>257</v>
      </c>
      <c r="B11" s="361">
        <f t="shared" si="0"/>
        <v>16</v>
      </c>
      <c r="C11" s="360">
        <v>8</v>
      </c>
      <c r="D11" s="360"/>
      <c r="E11" s="360">
        <v>8</v>
      </c>
      <c r="F11" s="360"/>
      <c r="G11" s="359"/>
      <c r="H11" s="359"/>
    </row>
    <row r="12" spans="1:8" ht="13.5" thickBot="1" x14ac:dyDescent="0.25">
      <c r="A12" s="363" t="s">
        <v>542</v>
      </c>
      <c r="B12" s="361">
        <f t="shared" si="0"/>
        <v>5</v>
      </c>
      <c r="C12" s="360">
        <v>1</v>
      </c>
      <c r="D12" s="360">
        <v>4</v>
      </c>
      <c r="E12" s="360"/>
      <c r="F12" s="360"/>
      <c r="G12" s="359"/>
      <c r="H12" s="359"/>
    </row>
    <row r="13" spans="1:8" ht="13.5" thickBot="1" x14ac:dyDescent="0.25">
      <c r="A13" s="363" t="s">
        <v>273</v>
      </c>
      <c r="B13" s="361">
        <f t="shared" si="0"/>
        <v>15</v>
      </c>
      <c r="C13" s="360">
        <v>6</v>
      </c>
      <c r="D13" s="360">
        <v>8</v>
      </c>
      <c r="E13" s="360"/>
      <c r="F13" s="360"/>
      <c r="G13" s="365">
        <v>1</v>
      </c>
      <c r="H13" s="365"/>
    </row>
    <row r="14" spans="1:8" ht="13.5" thickBot="1" x14ac:dyDescent="0.25">
      <c r="A14" s="363" t="s">
        <v>303</v>
      </c>
      <c r="B14" s="361">
        <f t="shared" si="0"/>
        <v>9</v>
      </c>
      <c r="C14" s="360">
        <v>6</v>
      </c>
      <c r="D14" s="360"/>
      <c r="E14" s="360">
        <v>3</v>
      </c>
      <c r="F14" s="360"/>
      <c r="G14" s="359"/>
      <c r="H14" s="359"/>
    </row>
    <row r="15" spans="1:8" ht="13.5" thickBot="1" x14ac:dyDescent="0.25">
      <c r="A15" s="363" t="s">
        <v>314</v>
      </c>
      <c r="B15" s="361">
        <f t="shared" si="0"/>
        <v>7</v>
      </c>
      <c r="C15" s="360">
        <v>2</v>
      </c>
      <c r="D15" s="360">
        <v>4</v>
      </c>
      <c r="E15" s="360">
        <v>1</v>
      </c>
      <c r="F15" s="360"/>
      <c r="G15" s="359"/>
      <c r="H15" s="359"/>
    </row>
    <row r="16" spans="1:8" ht="13.5" thickBot="1" x14ac:dyDescent="0.25">
      <c r="A16" s="363" t="s">
        <v>325</v>
      </c>
      <c r="B16" s="361">
        <f t="shared" si="0"/>
        <v>2</v>
      </c>
      <c r="C16" s="360"/>
      <c r="D16" s="360">
        <v>2</v>
      </c>
      <c r="E16" s="360"/>
      <c r="F16" s="360"/>
      <c r="G16" s="359"/>
      <c r="H16" s="359"/>
    </row>
    <row r="17" spans="1:8" ht="13.5" thickBot="1" x14ac:dyDescent="0.25">
      <c r="A17" s="363" t="s">
        <v>330</v>
      </c>
      <c r="B17" s="361">
        <f t="shared" si="0"/>
        <v>36</v>
      </c>
      <c r="C17" s="360">
        <v>4</v>
      </c>
      <c r="D17" s="360">
        <v>15</v>
      </c>
      <c r="E17" s="360">
        <v>16</v>
      </c>
      <c r="F17" s="360"/>
      <c r="G17" s="360"/>
      <c r="H17" s="360">
        <v>1</v>
      </c>
    </row>
    <row r="18" spans="1:8" ht="26.25" thickBot="1" x14ac:dyDescent="0.25">
      <c r="A18" s="363" t="s">
        <v>291</v>
      </c>
      <c r="B18" s="361">
        <f t="shared" si="0"/>
        <v>1</v>
      </c>
      <c r="C18" s="360"/>
      <c r="D18" s="360"/>
      <c r="E18" s="360">
        <v>1</v>
      </c>
      <c r="F18" s="360"/>
      <c r="G18" s="359"/>
      <c r="H18" s="359"/>
    </row>
    <row r="19" spans="1:8" ht="26.25" thickBot="1" x14ac:dyDescent="0.25">
      <c r="A19" s="363" t="s">
        <v>294</v>
      </c>
      <c r="B19" s="361">
        <f t="shared" si="0"/>
        <v>11</v>
      </c>
      <c r="C19" s="360"/>
      <c r="D19" s="360">
        <v>5</v>
      </c>
      <c r="E19" s="360">
        <v>1</v>
      </c>
      <c r="F19" s="360">
        <v>4</v>
      </c>
      <c r="G19" s="360">
        <v>1</v>
      </c>
      <c r="H19" s="360"/>
    </row>
    <row r="20" spans="1:8" ht="13.5" thickBot="1" x14ac:dyDescent="0.25">
      <c r="A20" s="363" t="s">
        <v>379</v>
      </c>
      <c r="B20" s="361">
        <f t="shared" si="0"/>
        <v>9</v>
      </c>
      <c r="C20" s="360">
        <v>2</v>
      </c>
      <c r="D20" s="360">
        <v>4</v>
      </c>
      <c r="E20" s="360">
        <v>3</v>
      </c>
      <c r="F20" s="360"/>
      <c r="G20" s="359"/>
      <c r="H20" s="359"/>
    </row>
    <row r="21" spans="1:8" ht="13.5" thickBot="1" x14ac:dyDescent="0.25">
      <c r="A21" s="363" t="s">
        <v>389</v>
      </c>
      <c r="B21" s="361">
        <f t="shared" si="0"/>
        <v>4</v>
      </c>
      <c r="C21" s="360">
        <v>1</v>
      </c>
      <c r="D21" s="360">
        <v>3</v>
      </c>
      <c r="E21" s="360"/>
      <c r="F21" s="360"/>
      <c r="G21" s="359"/>
      <c r="H21" s="359"/>
    </row>
    <row r="22" spans="1:8" ht="13.5" thickBot="1" x14ac:dyDescent="0.25">
      <c r="A22" s="364" t="s">
        <v>395</v>
      </c>
      <c r="B22" s="361">
        <f t="shared" si="0"/>
        <v>1</v>
      </c>
      <c r="C22" s="360"/>
      <c r="D22" s="360"/>
      <c r="E22" s="360">
        <v>1</v>
      </c>
      <c r="F22" s="360"/>
      <c r="G22" s="359"/>
      <c r="H22" s="359"/>
    </row>
    <row r="23" spans="1:8" ht="13.5" thickBot="1" x14ac:dyDescent="0.25">
      <c r="A23" s="363" t="s">
        <v>400</v>
      </c>
      <c r="B23" s="361">
        <f t="shared" si="0"/>
        <v>9</v>
      </c>
      <c r="C23" s="360">
        <v>1</v>
      </c>
      <c r="D23" s="360">
        <v>5</v>
      </c>
      <c r="E23" s="360"/>
      <c r="F23" s="360"/>
      <c r="G23" s="360">
        <v>3</v>
      </c>
      <c r="H23" s="360"/>
    </row>
    <row r="24" spans="1:8" ht="13.5" thickBot="1" x14ac:dyDescent="0.25">
      <c r="A24" s="363" t="s">
        <v>405</v>
      </c>
      <c r="B24" s="361">
        <f t="shared" si="0"/>
        <v>17</v>
      </c>
      <c r="C24" s="360">
        <v>7</v>
      </c>
      <c r="D24" s="360">
        <v>2</v>
      </c>
      <c r="E24" s="360">
        <v>7</v>
      </c>
      <c r="F24" s="360"/>
      <c r="G24" s="360">
        <v>1</v>
      </c>
      <c r="H24" s="360"/>
    </row>
    <row r="25" spans="1:8" ht="13.5" thickBot="1" x14ac:dyDescent="0.25">
      <c r="A25" s="363" t="s">
        <v>423</v>
      </c>
      <c r="B25" s="361">
        <f t="shared" si="0"/>
        <v>12</v>
      </c>
      <c r="C25" s="360">
        <v>2</v>
      </c>
      <c r="D25" s="360">
        <v>5</v>
      </c>
      <c r="E25" s="360">
        <v>3</v>
      </c>
      <c r="F25" s="360"/>
      <c r="G25" s="360">
        <v>2</v>
      </c>
      <c r="H25" s="360"/>
    </row>
    <row r="26" spans="1:8" ht="13.5" thickBot="1" x14ac:dyDescent="0.25">
      <c r="A26" s="363" t="s">
        <v>433</v>
      </c>
      <c r="B26" s="361">
        <f t="shared" si="0"/>
        <v>8</v>
      </c>
      <c r="C26" s="360">
        <v>1</v>
      </c>
      <c r="D26" s="360">
        <v>3</v>
      </c>
      <c r="E26" s="360">
        <v>4</v>
      </c>
      <c r="F26" s="360"/>
      <c r="G26" s="359"/>
      <c r="H26" s="359"/>
    </row>
    <row r="27" spans="1:8" ht="13.5" thickBot="1" x14ac:dyDescent="0.25">
      <c r="A27" s="363" t="s">
        <v>442</v>
      </c>
      <c r="B27" s="361">
        <f t="shared" si="0"/>
        <v>4</v>
      </c>
      <c r="C27" s="360"/>
      <c r="D27" s="360">
        <v>1</v>
      </c>
      <c r="E27" s="360">
        <v>2</v>
      </c>
      <c r="F27" s="360"/>
      <c r="G27" s="360">
        <v>1</v>
      </c>
      <c r="H27" s="360"/>
    </row>
    <row r="28" spans="1:8" ht="13.5" thickBot="1" x14ac:dyDescent="0.25">
      <c r="A28" s="363" t="s">
        <v>447</v>
      </c>
      <c r="B28" s="361">
        <f t="shared" si="0"/>
        <v>4</v>
      </c>
      <c r="C28" s="360"/>
      <c r="D28" s="360">
        <v>3</v>
      </c>
      <c r="E28" s="360">
        <v>1</v>
      </c>
      <c r="F28" s="360"/>
      <c r="G28" s="359"/>
      <c r="H28" s="359"/>
    </row>
    <row r="29" spans="1:8" ht="13.5" thickBot="1" x14ac:dyDescent="0.25">
      <c r="A29" s="363" t="s">
        <v>451</v>
      </c>
      <c r="B29" s="361">
        <f t="shared" si="0"/>
        <v>12</v>
      </c>
      <c r="C29" s="360">
        <v>7</v>
      </c>
      <c r="D29" s="360">
        <v>4</v>
      </c>
      <c r="E29" s="360">
        <v>1</v>
      </c>
      <c r="F29" s="360"/>
      <c r="G29" s="359"/>
      <c r="H29" s="359"/>
    </row>
    <row r="30" spans="1:8" ht="13.5" thickBot="1" x14ac:dyDescent="0.25">
      <c r="A30" s="363" t="s">
        <v>462</v>
      </c>
      <c r="B30" s="361">
        <f t="shared" si="0"/>
        <v>19</v>
      </c>
      <c r="C30" s="360">
        <v>11</v>
      </c>
      <c r="D30" s="360"/>
      <c r="E30" s="360">
        <v>8</v>
      </c>
      <c r="F30" s="360"/>
      <c r="G30" s="355"/>
      <c r="H30" s="355"/>
    </row>
    <row r="31" spans="1:8" ht="13.5" thickBot="1" x14ac:dyDescent="0.25">
      <c r="A31" s="363" t="s">
        <v>1499</v>
      </c>
      <c r="B31" s="361">
        <f t="shared" si="0"/>
        <v>1</v>
      </c>
      <c r="C31" s="360"/>
      <c r="D31" s="360">
        <v>1</v>
      </c>
      <c r="E31" s="360"/>
      <c r="F31" s="360"/>
      <c r="G31" s="359"/>
      <c r="H31" s="359"/>
    </row>
    <row r="32" spans="1:8" ht="13.5" thickBot="1" x14ac:dyDescent="0.25">
      <c r="A32" s="363" t="s">
        <v>486</v>
      </c>
      <c r="B32" s="361">
        <f t="shared" si="0"/>
        <v>12</v>
      </c>
      <c r="C32" s="360">
        <v>8</v>
      </c>
      <c r="D32" s="360">
        <v>1</v>
      </c>
      <c r="E32" s="360">
        <v>1</v>
      </c>
      <c r="F32" s="360"/>
      <c r="G32" s="360">
        <v>1</v>
      </c>
      <c r="H32" s="360">
        <v>1</v>
      </c>
    </row>
    <row r="33" spans="1:8" ht="13.5" thickBot="1" x14ac:dyDescent="0.25">
      <c r="A33" s="363" t="s">
        <v>500</v>
      </c>
      <c r="B33" s="361">
        <f t="shared" si="0"/>
        <v>2</v>
      </c>
      <c r="C33" s="360"/>
      <c r="D33" s="360">
        <v>2</v>
      </c>
      <c r="E33" s="360"/>
      <c r="F33" s="360"/>
      <c r="G33" s="359"/>
      <c r="H33" s="359"/>
    </row>
    <row r="34" spans="1:8" ht="13.5" thickBot="1" x14ac:dyDescent="0.25">
      <c r="A34" s="363" t="s">
        <v>503</v>
      </c>
      <c r="B34" s="361">
        <f t="shared" si="0"/>
        <v>13</v>
      </c>
      <c r="C34" s="360">
        <v>1</v>
      </c>
      <c r="D34" s="360">
        <v>12</v>
      </c>
      <c r="E34" s="360"/>
      <c r="F34" s="360"/>
      <c r="G34" s="359"/>
      <c r="H34" s="359"/>
    </row>
    <row r="35" spans="1:8" ht="13.5" thickBot="1" x14ac:dyDescent="0.25">
      <c r="A35" s="363" t="s">
        <v>517</v>
      </c>
      <c r="B35" s="361">
        <f t="shared" si="0"/>
        <v>14</v>
      </c>
      <c r="C35" s="360">
        <v>1</v>
      </c>
      <c r="D35" s="360">
        <v>4</v>
      </c>
      <c r="E35" s="360">
        <v>8</v>
      </c>
      <c r="F35" s="360"/>
      <c r="G35" s="360"/>
      <c r="H35" s="360">
        <v>1</v>
      </c>
    </row>
    <row r="36" spans="1:8" ht="13.5" thickBot="1" x14ac:dyDescent="0.25">
      <c r="A36" s="363" t="s">
        <v>1463</v>
      </c>
      <c r="B36" s="361">
        <f t="shared" si="0"/>
        <v>1</v>
      </c>
      <c r="C36" s="360"/>
      <c r="D36" s="360">
        <v>1</v>
      </c>
      <c r="E36" s="360"/>
      <c r="F36" s="360"/>
      <c r="G36" s="359"/>
      <c r="H36" s="359"/>
    </row>
    <row r="37" spans="1:8" ht="13.5" thickBot="1" x14ac:dyDescent="0.25">
      <c r="A37" s="363" t="s">
        <v>533</v>
      </c>
      <c r="B37" s="361">
        <f t="shared" si="0"/>
        <v>9</v>
      </c>
      <c r="C37" s="360"/>
      <c r="D37" s="360">
        <v>7</v>
      </c>
      <c r="E37" s="360">
        <v>1</v>
      </c>
      <c r="F37" s="360"/>
      <c r="G37" s="360">
        <v>1</v>
      </c>
      <c r="H37" s="360"/>
    </row>
    <row r="38" spans="1:8" ht="13.5" thickBot="1" x14ac:dyDescent="0.25">
      <c r="A38" s="362" t="s">
        <v>399</v>
      </c>
      <c r="B38" s="361">
        <f t="shared" si="0"/>
        <v>2</v>
      </c>
      <c r="C38" s="360"/>
      <c r="D38" s="360">
        <v>2</v>
      </c>
      <c r="E38" s="360"/>
      <c r="F38" s="360"/>
      <c r="G38" s="359"/>
      <c r="H38" s="359"/>
    </row>
    <row r="39" spans="1:8" ht="13.5" thickBot="1" x14ac:dyDescent="0.25">
      <c r="A39" s="358" t="s">
        <v>547</v>
      </c>
      <c r="B39" s="357">
        <f t="shared" si="0"/>
        <v>5</v>
      </c>
      <c r="C39" s="356">
        <v>3</v>
      </c>
      <c r="D39" s="356">
        <v>1</v>
      </c>
      <c r="E39" s="356">
        <v>1</v>
      </c>
      <c r="F39" s="356"/>
      <c r="G39" s="355"/>
      <c r="H39" s="355"/>
    </row>
    <row r="40" spans="1:8" ht="13.5" thickBot="1" x14ac:dyDescent="0.25">
      <c r="A40" s="354" t="s">
        <v>1576</v>
      </c>
      <c r="B40" s="354">
        <f t="shared" ref="B40:H40" si="1">SUM(B4:B39)</f>
        <v>295</v>
      </c>
      <c r="C40" s="354">
        <f t="shared" si="1"/>
        <v>82</v>
      </c>
      <c r="D40" s="354">
        <f t="shared" si="1"/>
        <v>118</v>
      </c>
      <c r="E40" s="354">
        <f t="shared" si="1"/>
        <v>77</v>
      </c>
      <c r="F40" s="354">
        <f t="shared" si="1"/>
        <v>4</v>
      </c>
      <c r="G40" s="354">
        <f t="shared" si="1"/>
        <v>11</v>
      </c>
      <c r="H40" s="354">
        <f t="shared" si="1"/>
        <v>3</v>
      </c>
    </row>
  </sheetData>
  <mergeCells count="2">
    <mergeCell ref="A2:A3"/>
    <mergeCell ref="B2:H2"/>
  </mergeCells>
  <printOptions horizontalCentered="1" verticalCentered="1"/>
  <pageMargins left="0.70866141732283472" right="0.70866141732283472" top="0.74803149606299213" bottom="0.74803149606299213" header="0.31496062992125984" footer="0.31496062992125984"/>
  <pageSetup scale="9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FF"/>
  </sheetPr>
  <dimension ref="A1:J494"/>
  <sheetViews>
    <sheetView showGridLines="0" tabSelected="1" view="pageBreakPreview" zoomScale="70" zoomScaleNormal="60" zoomScaleSheetLayoutView="70" workbookViewId="0">
      <selection activeCell="C13" sqref="C13"/>
    </sheetView>
  </sheetViews>
  <sheetFormatPr baseColWidth="10" defaultColWidth="11.42578125" defaultRowHeight="18.75" x14ac:dyDescent="0.2"/>
  <cols>
    <col min="1" max="1" width="6" style="40" customWidth="1"/>
    <col min="2" max="2" width="9.42578125" style="51" customWidth="1"/>
    <col min="3" max="3" width="28.7109375" style="23" customWidth="1"/>
    <col min="4" max="4" width="39.28515625" style="20" customWidth="1"/>
    <col min="5" max="5" width="24.5703125" style="20" customWidth="1"/>
    <col min="6" max="6" width="25.28515625" style="28" customWidth="1"/>
    <col min="7" max="7" width="105.28515625" style="28" customWidth="1"/>
    <col min="8" max="8" width="23.140625" style="19" hidden="1" customWidth="1"/>
    <col min="9" max="9" width="4.140625" style="19" customWidth="1"/>
    <col min="10" max="10" width="30.85546875" style="19" customWidth="1"/>
    <col min="11" max="15" width="11.42578125" style="19" customWidth="1"/>
    <col min="16" max="16384" width="11.42578125" style="19"/>
  </cols>
  <sheetData>
    <row r="1" spans="1:10" s="4" customFormat="1" x14ac:dyDescent="0.2">
      <c r="A1" s="37"/>
      <c r="B1" s="46"/>
      <c r="C1" s="1"/>
      <c r="D1" s="1"/>
      <c r="F1" s="9"/>
      <c r="G1" s="9"/>
    </row>
    <row r="2" spans="1:10" s="13" customFormat="1" ht="15" customHeight="1" x14ac:dyDescent="0.3">
      <c r="A2" s="38"/>
      <c r="B2" s="50"/>
      <c r="C2" s="16"/>
      <c r="D2" s="17"/>
      <c r="E2" s="45"/>
      <c r="F2" s="18"/>
      <c r="G2" s="18"/>
    </row>
    <row r="3" spans="1:10" s="13" customFormat="1" ht="105.75" customHeight="1" x14ac:dyDescent="0.2">
      <c r="A3" s="38"/>
      <c r="B3" s="52" t="s">
        <v>0</v>
      </c>
      <c r="C3" s="52" t="s">
        <v>1582</v>
      </c>
      <c r="D3" s="52" t="s">
        <v>1605</v>
      </c>
      <c r="E3" s="52" t="s">
        <v>3</v>
      </c>
      <c r="F3" s="52" t="s">
        <v>1577</v>
      </c>
      <c r="G3" s="52" t="s">
        <v>1606</v>
      </c>
      <c r="H3" s="52" t="s">
        <v>1582</v>
      </c>
    </row>
    <row r="4" spans="1:10" ht="72" x14ac:dyDescent="0.2">
      <c r="B4" s="126">
        <v>1</v>
      </c>
      <c r="C4" s="126" t="s">
        <v>273</v>
      </c>
      <c r="D4" s="393" t="s">
        <v>1590</v>
      </c>
      <c r="E4" s="393" t="s">
        <v>574</v>
      </c>
      <c r="F4" s="394">
        <v>1113600</v>
      </c>
      <c r="G4" s="401" t="s">
        <v>1607</v>
      </c>
      <c r="J4" s="342"/>
    </row>
    <row r="5" spans="1:10" ht="56.25" x14ac:dyDescent="0.2">
      <c r="B5" s="126">
        <v>2</v>
      </c>
      <c r="C5" s="126" t="s">
        <v>294</v>
      </c>
      <c r="D5" s="393" t="s">
        <v>1569</v>
      </c>
      <c r="E5" s="393" t="s">
        <v>262</v>
      </c>
      <c r="F5" s="394">
        <v>10665786.730976</v>
      </c>
      <c r="G5" s="401" t="s">
        <v>1608</v>
      </c>
    </row>
    <row r="6" spans="1:10" s="344" customFormat="1" ht="72" x14ac:dyDescent="0.2">
      <c r="A6" s="343"/>
      <c r="B6" s="126">
        <v>3</v>
      </c>
      <c r="C6" s="395" t="s">
        <v>400</v>
      </c>
      <c r="D6" s="402" t="s">
        <v>1591</v>
      </c>
      <c r="E6" s="397" t="s">
        <v>1592</v>
      </c>
      <c r="F6" s="398">
        <v>1348186.8</v>
      </c>
      <c r="G6" s="404" t="s">
        <v>1609</v>
      </c>
      <c r="I6" s="19"/>
      <c r="J6" s="353"/>
    </row>
    <row r="7" spans="1:10" ht="56.25" x14ac:dyDescent="0.2">
      <c r="B7" s="126">
        <v>4</v>
      </c>
      <c r="C7" s="395" t="s">
        <v>400</v>
      </c>
      <c r="D7" s="403" t="s">
        <v>1568</v>
      </c>
      <c r="E7" s="397" t="s">
        <v>1559</v>
      </c>
      <c r="F7" s="398">
        <v>1767557.9814239417</v>
      </c>
      <c r="G7" s="404" t="s">
        <v>1610</v>
      </c>
      <c r="J7" s="1"/>
    </row>
    <row r="8" spans="1:10" ht="56.25" x14ac:dyDescent="0.2">
      <c r="B8" s="126">
        <v>5</v>
      </c>
      <c r="C8" s="395" t="s">
        <v>400</v>
      </c>
      <c r="D8" s="403" t="s">
        <v>1578</v>
      </c>
      <c r="E8" s="397" t="s">
        <v>1558</v>
      </c>
      <c r="F8" s="398">
        <v>1104430.6176</v>
      </c>
      <c r="G8" s="404" t="s">
        <v>1611</v>
      </c>
      <c r="J8" s="1"/>
    </row>
    <row r="9" spans="1:10" ht="56.25" x14ac:dyDescent="0.2">
      <c r="B9" s="126">
        <v>6</v>
      </c>
      <c r="C9" s="395" t="s">
        <v>405</v>
      </c>
      <c r="D9" s="403" t="s">
        <v>1570</v>
      </c>
      <c r="E9" s="397" t="s">
        <v>1571</v>
      </c>
      <c r="F9" s="398">
        <v>779519.99999999988</v>
      </c>
      <c r="G9" s="404" t="s">
        <v>1612</v>
      </c>
    </row>
    <row r="10" spans="1:10" ht="72" x14ac:dyDescent="0.2">
      <c r="B10" s="126">
        <v>7</v>
      </c>
      <c r="C10" s="395" t="s">
        <v>423</v>
      </c>
      <c r="D10" s="403" t="s">
        <v>1574</v>
      </c>
      <c r="E10" s="397" t="s">
        <v>387</v>
      </c>
      <c r="F10" s="398">
        <v>1113600</v>
      </c>
      <c r="G10" s="406" t="s">
        <v>1613</v>
      </c>
    </row>
    <row r="11" spans="1:10" ht="72" x14ac:dyDescent="0.2">
      <c r="B11" s="126">
        <v>8</v>
      </c>
      <c r="C11" s="395" t="s">
        <v>423</v>
      </c>
      <c r="D11" s="403" t="s">
        <v>1574</v>
      </c>
      <c r="E11" s="397" t="s">
        <v>1575</v>
      </c>
      <c r="F11" s="398">
        <v>835200</v>
      </c>
      <c r="G11" s="405" t="s">
        <v>1614</v>
      </c>
    </row>
    <row r="12" spans="1:10" ht="108" x14ac:dyDescent="0.2">
      <c r="B12" s="126">
        <v>9</v>
      </c>
      <c r="C12" s="395" t="s">
        <v>442</v>
      </c>
      <c r="D12" s="403" t="s">
        <v>1603</v>
      </c>
      <c r="E12" s="397" t="s">
        <v>1572</v>
      </c>
      <c r="F12" s="398">
        <v>2161636.7999999998</v>
      </c>
      <c r="G12" s="407" t="s">
        <v>1615</v>
      </c>
    </row>
    <row r="13" spans="1:10" ht="72" x14ac:dyDescent="0.2">
      <c r="B13" s="126">
        <v>10</v>
      </c>
      <c r="C13" s="395" t="s">
        <v>486</v>
      </c>
      <c r="D13" s="402" t="s">
        <v>1560</v>
      </c>
      <c r="E13" s="397" t="s">
        <v>1561</v>
      </c>
      <c r="F13" s="398">
        <v>139200</v>
      </c>
      <c r="G13" s="407" t="s">
        <v>1616</v>
      </c>
      <c r="J13" s="345"/>
    </row>
    <row r="14" spans="1:10" ht="37.5" x14ac:dyDescent="0.2">
      <c r="B14" s="126">
        <v>11</v>
      </c>
      <c r="C14" s="126" t="s">
        <v>533</v>
      </c>
      <c r="D14" s="403" t="s">
        <v>1563</v>
      </c>
      <c r="E14" s="397" t="s">
        <v>261</v>
      </c>
      <c r="F14" s="398">
        <v>111360</v>
      </c>
      <c r="G14" s="404" t="s">
        <v>1617</v>
      </c>
    </row>
    <row r="15" spans="1:10" x14ac:dyDescent="0.25">
      <c r="F15" s="171">
        <f>SUM(F4:F14)</f>
        <v>21140078.929999944</v>
      </c>
      <c r="G15" s="171"/>
    </row>
    <row r="16" spans="1:10" ht="19.5" x14ac:dyDescent="0.2">
      <c r="B16" s="338" t="s">
        <v>1619</v>
      </c>
      <c r="F16" s="383"/>
      <c r="G16" s="383"/>
    </row>
    <row r="17" spans="2:7" ht="75" x14ac:dyDescent="0.2">
      <c r="B17" s="400">
        <v>1</v>
      </c>
      <c r="C17" s="395" t="s">
        <v>330</v>
      </c>
      <c r="D17" s="396" t="s">
        <v>1556</v>
      </c>
      <c r="E17" s="397" t="s">
        <v>1557</v>
      </c>
      <c r="F17" s="398">
        <v>136800</v>
      </c>
      <c r="G17" s="410" t="s">
        <v>1618</v>
      </c>
    </row>
    <row r="18" spans="2:7" ht="75" x14ac:dyDescent="0.2">
      <c r="B18" s="400">
        <v>2</v>
      </c>
      <c r="C18" s="395" t="s">
        <v>517</v>
      </c>
      <c r="D18" s="399" t="s">
        <v>1573</v>
      </c>
      <c r="E18" s="397" t="s">
        <v>1557</v>
      </c>
      <c r="F18" s="398">
        <v>130668</v>
      </c>
      <c r="G18" s="411"/>
    </row>
    <row r="19" spans="2:7" ht="75" x14ac:dyDescent="0.2">
      <c r="B19" s="400">
        <v>3</v>
      </c>
      <c r="C19" s="395" t="s">
        <v>486</v>
      </c>
      <c r="D19" s="396" t="s">
        <v>1562</v>
      </c>
      <c r="E19" s="397" t="s">
        <v>1557</v>
      </c>
      <c r="F19" s="398">
        <v>240000</v>
      </c>
      <c r="G19" s="412"/>
    </row>
    <row r="20" spans="2:7" x14ac:dyDescent="0.25">
      <c r="F20" s="171">
        <f>+F17+F18+F19</f>
        <v>507468</v>
      </c>
      <c r="G20" s="171"/>
    </row>
    <row r="21" spans="2:7" x14ac:dyDescent="0.2">
      <c r="F21" s="153"/>
      <c r="G21" s="153"/>
    </row>
    <row r="22" spans="2:7" x14ac:dyDescent="0.2">
      <c r="F22" s="153"/>
      <c r="G22" s="153"/>
    </row>
    <row r="23" spans="2:7" x14ac:dyDescent="0.2">
      <c r="F23" s="153"/>
      <c r="G23" s="153"/>
    </row>
    <row r="24" spans="2:7" x14ac:dyDescent="0.2">
      <c r="F24" s="153"/>
      <c r="G24" s="153"/>
    </row>
    <row r="25" spans="2:7" x14ac:dyDescent="0.2">
      <c r="F25" s="153"/>
      <c r="G25" s="153"/>
    </row>
    <row r="26" spans="2:7" x14ac:dyDescent="0.2">
      <c r="F26" s="153"/>
      <c r="G26" s="153"/>
    </row>
    <row r="27" spans="2:7" x14ac:dyDescent="0.2">
      <c r="F27" s="153"/>
      <c r="G27" s="153"/>
    </row>
    <row r="28" spans="2:7" x14ac:dyDescent="0.2">
      <c r="F28" s="153"/>
      <c r="G28" s="153"/>
    </row>
    <row r="29" spans="2:7" x14ac:dyDescent="0.2">
      <c r="F29" s="153"/>
      <c r="G29" s="153"/>
    </row>
    <row r="30" spans="2:7" x14ac:dyDescent="0.2">
      <c r="F30" s="153"/>
      <c r="G30" s="153"/>
    </row>
    <row r="31" spans="2:7" x14ac:dyDescent="0.2">
      <c r="F31" s="153"/>
      <c r="G31" s="153"/>
    </row>
    <row r="32" spans="2:7" x14ac:dyDescent="0.2">
      <c r="F32" s="153"/>
      <c r="G32" s="153"/>
    </row>
    <row r="33" spans="6:7" x14ac:dyDescent="0.2">
      <c r="F33" s="153"/>
      <c r="G33" s="153"/>
    </row>
    <row r="34" spans="6:7" x14ac:dyDescent="0.2">
      <c r="F34" s="153"/>
      <c r="G34" s="153"/>
    </row>
    <row r="35" spans="6:7" x14ac:dyDescent="0.2">
      <c r="F35" s="153"/>
      <c r="G35" s="153"/>
    </row>
    <row r="36" spans="6:7" x14ac:dyDescent="0.2">
      <c r="F36" s="153"/>
      <c r="G36" s="153"/>
    </row>
    <row r="37" spans="6:7" x14ac:dyDescent="0.2">
      <c r="F37" s="153"/>
      <c r="G37" s="153"/>
    </row>
    <row r="38" spans="6:7" x14ac:dyDescent="0.2">
      <c r="F38" s="153"/>
      <c r="G38" s="153"/>
    </row>
    <row r="39" spans="6:7" x14ac:dyDescent="0.2">
      <c r="F39" s="153"/>
      <c r="G39" s="153"/>
    </row>
    <row r="40" spans="6:7" x14ac:dyDescent="0.2">
      <c r="F40" s="153"/>
      <c r="G40" s="153"/>
    </row>
    <row r="41" spans="6:7" x14ac:dyDescent="0.2">
      <c r="F41" s="153"/>
      <c r="G41" s="153"/>
    </row>
    <row r="42" spans="6:7" x14ac:dyDescent="0.2">
      <c r="F42" s="153"/>
      <c r="G42" s="153"/>
    </row>
    <row r="43" spans="6:7" x14ac:dyDescent="0.2">
      <c r="F43" s="153"/>
      <c r="G43" s="153"/>
    </row>
    <row r="44" spans="6:7" x14ac:dyDescent="0.2">
      <c r="F44" s="153"/>
      <c r="G44" s="153"/>
    </row>
    <row r="45" spans="6:7" x14ac:dyDescent="0.2">
      <c r="F45" s="153"/>
      <c r="G45" s="153"/>
    </row>
    <row r="46" spans="6:7" x14ac:dyDescent="0.2">
      <c r="F46" s="153"/>
      <c r="G46" s="153"/>
    </row>
    <row r="47" spans="6:7" x14ac:dyDescent="0.2">
      <c r="F47" s="153"/>
      <c r="G47" s="153"/>
    </row>
    <row r="48" spans="6:7" x14ac:dyDescent="0.2">
      <c r="F48" s="153"/>
      <c r="G48" s="153"/>
    </row>
    <row r="49" spans="6:7" x14ac:dyDescent="0.2">
      <c r="F49" s="153"/>
      <c r="G49" s="153"/>
    </row>
    <row r="50" spans="6:7" x14ac:dyDescent="0.2">
      <c r="F50" s="153"/>
      <c r="G50" s="153"/>
    </row>
    <row r="51" spans="6:7" x14ac:dyDescent="0.2">
      <c r="F51" s="153"/>
      <c r="G51" s="153"/>
    </row>
    <row r="52" spans="6:7" x14ac:dyDescent="0.2">
      <c r="F52" s="153"/>
      <c r="G52" s="153"/>
    </row>
    <row r="53" spans="6:7" x14ac:dyDescent="0.2">
      <c r="F53" s="153"/>
      <c r="G53" s="153"/>
    </row>
    <row r="54" spans="6:7" x14ac:dyDescent="0.2">
      <c r="F54" s="153"/>
      <c r="G54" s="153"/>
    </row>
    <row r="55" spans="6:7" x14ac:dyDescent="0.2">
      <c r="F55" s="153"/>
      <c r="G55" s="153"/>
    </row>
    <row r="56" spans="6:7" x14ac:dyDescent="0.2">
      <c r="F56" s="153"/>
      <c r="G56" s="153"/>
    </row>
    <row r="57" spans="6:7" x14ac:dyDescent="0.2">
      <c r="F57" s="153"/>
      <c r="G57" s="153"/>
    </row>
    <row r="58" spans="6:7" x14ac:dyDescent="0.2">
      <c r="F58" s="153"/>
      <c r="G58" s="153"/>
    </row>
    <row r="59" spans="6:7" x14ac:dyDescent="0.2">
      <c r="F59" s="153"/>
      <c r="G59" s="153"/>
    </row>
    <row r="60" spans="6:7" x14ac:dyDescent="0.2">
      <c r="F60" s="153"/>
      <c r="G60" s="153"/>
    </row>
    <row r="61" spans="6:7" x14ac:dyDescent="0.2">
      <c r="F61" s="153"/>
      <c r="G61" s="153"/>
    </row>
    <row r="62" spans="6:7" x14ac:dyDescent="0.2">
      <c r="F62" s="153"/>
      <c r="G62" s="153"/>
    </row>
    <row r="63" spans="6:7" x14ac:dyDescent="0.2">
      <c r="F63" s="153"/>
      <c r="G63" s="153"/>
    </row>
    <row r="64" spans="6:7" x14ac:dyDescent="0.2">
      <c r="F64" s="153"/>
      <c r="G64" s="153"/>
    </row>
    <row r="65" spans="6:7" x14ac:dyDescent="0.2">
      <c r="F65" s="153"/>
      <c r="G65" s="153"/>
    </row>
    <row r="66" spans="6:7" x14ac:dyDescent="0.2">
      <c r="F66" s="153"/>
      <c r="G66" s="153"/>
    </row>
    <row r="67" spans="6:7" x14ac:dyDescent="0.2">
      <c r="F67" s="153"/>
      <c r="G67" s="153"/>
    </row>
    <row r="68" spans="6:7" x14ac:dyDescent="0.2">
      <c r="F68" s="153"/>
      <c r="G68" s="153"/>
    </row>
    <row r="69" spans="6:7" x14ac:dyDescent="0.2">
      <c r="F69" s="153"/>
      <c r="G69" s="153"/>
    </row>
    <row r="70" spans="6:7" x14ac:dyDescent="0.2">
      <c r="F70" s="153"/>
      <c r="G70" s="153"/>
    </row>
    <row r="71" spans="6:7" x14ac:dyDescent="0.2">
      <c r="F71" s="153"/>
      <c r="G71" s="153"/>
    </row>
    <row r="72" spans="6:7" x14ac:dyDescent="0.2">
      <c r="F72" s="153"/>
      <c r="G72" s="153"/>
    </row>
    <row r="73" spans="6:7" x14ac:dyDescent="0.2">
      <c r="F73" s="153"/>
      <c r="G73" s="153"/>
    </row>
    <row r="74" spans="6:7" x14ac:dyDescent="0.2">
      <c r="F74" s="153"/>
      <c r="G74" s="153"/>
    </row>
    <row r="75" spans="6:7" x14ac:dyDescent="0.2">
      <c r="F75" s="153"/>
      <c r="G75" s="153"/>
    </row>
    <row r="76" spans="6:7" x14ac:dyDescent="0.2">
      <c r="F76" s="153"/>
      <c r="G76" s="153"/>
    </row>
    <row r="77" spans="6:7" x14ac:dyDescent="0.2">
      <c r="F77" s="153"/>
      <c r="G77" s="153"/>
    </row>
    <row r="78" spans="6:7" x14ac:dyDescent="0.2">
      <c r="F78" s="153"/>
      <c r="G78" s="153"/>
    </row>
    <row r="79" spans="6:7" x14ac:dyDescent="0.2">
      <c r="F79" s="153"/>
      <c r="G79" s="153"/>
    </row>
    <row r="80" spans="6:7" x14ac:dyDescent="0.2">
      <c r="F80" s="153"/>
      <c r="G80" s="153"/>
    </row>
    <row r="81" spans="6:7" x14ac:dyDescent="0.2">
      <c r="F81" s="153"/>
      <c r="G81" s="153"/>
    </row>
    <row r="82" spans="6:7" x14ac:dyDescent="0.2">
      <c r="F82" s="153"/>
      <c r="G82" s="153"/>
    </row>
    <row r="83" spans="6:7" x14ac:dyDescent="0.2">
      <c r="F83" s="153"/>
      <c r="G83" s="153"/>
    </row>
    <row r="84" spans="6:7" x14ac:dyDescent="0.2">
      <c r="F84" s="153"/>
      <c r="G84" s="153"/>
    </row>
    <row r="85" spans="6:7" x14ac:dyDescent="0.2">
      <c r="F85" s="153"/>
      <c r="G85" s="153"/>
    </row>
    <row r="86" spans="6:7" x14ac:dyDescent="0.2">
      <c r="F86" s="153"/>
      <c r="G86" s="153"/>
    </row>
    <row r="87" spans="6:7" x14ac:dyDescent="0.2">
      <c r="F87" s="153"/>
      <c r="G87" s="153"/>
    </row>
    <row r="88" spans="6:7" x14ac:dyDescent="0.2">
      <c r="F88" s="153"/>
      <c r="G88" s="153"/>
    </row>
    <row r="89" spans="6:7" x14ac:dyDescent="0.2">
      <c r="F89" s="153"/>
      <c r="G89" s="153"/>
    </row>
    <row r="90" spans="6:7" x14ac:dyDescent="0.2">
      <c r="F90" s="153"/>
      <c r="G90" s="153"/>
    </row>
    <row r="91" spans="6:7" x14ac:dyDescent="0.2">
      <c r="F91" s="153"/>
      <c r="G91" s="153"/>
    </row>
    <row r="92" spans="6:7" x14ac:dyDescent="0.2">
      <c r="F92" s="153"/>
      <c r="G92" s="153"/>
    </row>
    <row r="93" spans="6:7" x14ac:dyDescent="0.2">
      <c r="F93" s="153"/>
      <c r="G93" s="153"/>
    </row>
    <row r="94" spans="6:7" x14ac:dyDescent="0.2">
      <c r="F94" s="153"/>
      <c r="G94" s="153"/>
    </row>
    <row r="95" spans="6:7" x14ac:dyDescent="0.2">
      <c r="F95" s="153"/>
      <c r="G95" s="153"/>
    </row>
    <row r="96" spans="6:7" x14ac:dyDescent="0.2">
      <c r="F96" s="153"/>
      <c r="G96" s="153"/>
    </row>
    <row r="97" spans="6:7" x14ac:dyDescent="0.2">
      <c r="F97" s="153"/>
      <c r="G97" s="153"/>
    </row>
    <row r="98" spans="6:7" x14ac:dyDescent="0.2">
      <c r="F98" s="153"/>
      <c r="G98" s="153"/>
    </row>
    <row r="99" spans="6:7" x14ac:dyDescent="0.2">
      <c r="F99" s="153"/>
      <c r="G99" s="153"/>
    </row>
    <row r="100" spans="6:7" x14ac:dyDescent="0.2">
      <c r="F100" s="153"/>
      <c r="G100" s="153"/>
    </row>
    <row r="101" spans="6:7" x14ac:dyDescent="0.2">
      <c r="F101" s="153"/>
      <c r="G101" s="153"/>
    </row>
    <row r="102" spans="6:7" x14ac:dyDescent="0.2">
      <c r="F102" s="153"/>
      <c r="G102" s="153"/>
    </row>
    <row r="103" spans="6:7" x14ac:dyDescent="0.2">
      <c r="F103" s="153"/>
      <c r="G103" s="153"/>
    </row>
    <row r="104" spans="6:7" x14ac:dyDescent="0.2">
      <c r="F104" s="153"/>
      <c r="G104" s="153"/>
    </row>
    <row r="105" spans="6:7" x14ac:dyDescent="0.2">
      <c r="F105" s="153"/>
      <c r="G105" s="153"/>
    </row>
    <row r="106" spans="6:7" x14ac:dyDescent="0.2">
      <c r="F106" s="153"/>
      <c r="G106" s="153"/>
    </row>
    <row r="107" spans="6:7" x14ac:dyDescent="0.2">
      <c r="F107" s="153"/>
      <c r="G107" s="153"/>
    </row>
    <row r="108" spans="6:7" x14ac:dyDescent="0.2">
      <c r="F108" s="153"/>
      <c r="G108" s="153"/>
    </row>
    <row r="109" spans="6:7" x14ac:dyDescent="0.2">
      <c r="F109" s="153"/>
      <c r="G109" s="153"/>
    </row>
    <row r="110" spans="6:7" x14ac:dyDescent="0.2">
      <c r="F110" s="153"/>
      <c r="G110" s="153"/>
    </row>
    <row r="111" spans="6:7" x14ac:dyDescent="0.2">
      <c r="F111" s="153"/>
      <c r="G111" s="153"/>
    </row>
    <row r="112" spans="6:7" x14ac:dyDescent="0.2">
      <c r="F112" s="153"/>
      <c r="G112" s="153"/>
    </row>
    <row r="113" spans="6:7" x14ac:dyDescent="0.2">
      <c r="F113" s="153"/>
      <c r="G113" s="153"/>
    </row>
    <row r="114" spans="6:7" x14ac:dyDescent="0.2">
      <c r="F114" s="153"/>
      <c r="G114" s="153"/>
    </row>
    <row r="115" spans="6:7" x14ac:dyDescent="0.2">
      <c r="F115" s="153"/>
      <c r="G115" s="153"/>
    </row>
    <row r="116" spans="6:7" x14ac:dyDescent="0.2">
      <c r="F116" s="153"/>
      <c r="G116" s="153"/>
    </row>
    <row r="117" spans="6:7" x14ac:dyDescent="0.2">
      <c r="F117" s="153"/>
      <c r="G117" s="153"/>
    </row>
    <row r="118" spans="6:7" x14ac:dyDescent="0.2">
      <c r="F118" s="153"/>
      <c r="G118" s="153"/>
    </row>
    <row r="119" spans="6:7" x14ac:dyDescent="0.2">
      <c r="F119" s="153"/>
      <c r="G119" s="153"/>
    </row>
    <row r="120" spans="6:7" x14ac:dyDescent="0.2">
      <c r="F120" s="153"/>
      <c r="G120" s="153"/>
    </row>
    <row r="121" spans="6:7" x14ac:dyDescent="0.2">
      <c r="F121" s="153"/>
      <c r="G121" s="153"/>
    </row>
    <row r="122" spans="6:7" x14ac:dyDescent="0.2">
      <c r="F122" s="153"/>
      <c r="G122" s="153"/>
    </row>
    <row r="123" spans="6:7" x14ac:dyDescent="0.2">
      <c r="F123" s="153"/>
      <c r="G123" s="153"/>
    </row>
    <row r="124" spans="6:7" x14ac:dyDescent="0.2">
      <c r="F124" s="153"/>
      <c r="G124" s="153"/>
    </row>
    <row r="125" spans="6:7" x14ac:dyDescent="0.2">
      <c r="F125" s="153"/>
      <c r="G125" s="153"/>
    </row>
    <row r="126" spans="6:7" x14ac:dyDescent="0.2">
      <c r="F126" s="153"/>
      <c r="G126" s="153"/>
    </row>
    <row r="127" spans="6:7" x14ac:dyDescent="0.2">
      <c r="F127" s="153"/>
      <c r="G127" s="153"/>
    </row>
    <row r="128" spans="6:7" x14ac:dyDescent="0.2">
      <c r="F128" s="153"/>
      <c r="G128" s="153"/>
    </row>
    <row r="129" spans="6:7" x14ac:dyDescent="0.2">
      <c r="F129" s="153"/>
      <c r="G129" s="153"/>
    </row>
    <row r="130" spans="6:7" x14ac:dyDescent="0.2">
      <c r="F130" s="153"/>
      <c r="G130" s="153"/>
    </row>
    <row r="131" spans="6:7" x14ac:dyDescent="0.2">
      <c r="F131" s="153"/>
      <c r="G131" s="153"/>
    </row>
    <row r="132" spans="6:7" x14ac:dyDescent="0.2">
      <c r="F132" s="153"/>
      <c r="G132" s="153"/>
    </row>
    <row r="133" spans="6:7" x14ac:dyDescent="0.2">
      <c r="F133" s="153"/>
      <c r="G133" s="153"/>
    </row>
    <row r="134" spans="6:7" x14ac:dyDescent="0.2">
      <c r="F134" s="153"/>
      <c r="G134" s="153"/>
    </row>
    <row r="135" spans="6:7" x14ac:dyDescent="0.2">
      <c r="F135" s="153"/>
      <c r="G135" s="153"/>
    </row>
    <row r="136" spans="6:7" x14ac:dyDescent="0.2">
      <c r="F136" s="153"/>
      <c r="G136" s="153"/>
    </row>
    <row r="137" spans="6:7" x14ac:dyDescent="0.2">
      <c r="F137" s="153"/>
      <c r="G137" s="153"/>
    </row>
    <row r="138" spans="6:7" x14ac:dyDescent="0.2">
      <c r="F138" s="153"/>
      <c r="G138" s="153"/>
    </row>
    <row r="139" spans="6:7" x14ac:dyDescent="0.2">
      <c r="F139" s="153"/>
      <c r="G139" s="153"/>
    </row>
    <row r="140" spans="6:7" x14ac:dyDescent="0.2">
      <c r="F140" s="153"/>
      <c r="G140" s="153"/>
    </row>
    <row r="141" spans="6:7" x14ac:dyDescent="0.2">
      <c r="F141" s="153"/>
      <c r="G141" s="153"/>
    </row>
    <row r="142" spans="6:7" x14ac:dyDescent="0.2">
      <c r="F142" s="153"/>
      <c r="G142" s="153"/>
    </row>
    <row r="143" spans="6:7" x14ac:dyDescent="0.2">
      <c r="F143" s="153"/>
      <c r="G143" s="153"/>
    </row>
    <row r="144" spans="6:7" x14ac:dyDescent="0.2">
      <c r="F144" s="153"/>
      <c r="G144" s="153"/>
    </row>
    <row r="145" spans="6:7" x14ac:dyDescent="0.2">
      <c r="F145" s="153"/>
      <c r="G145" s="153"/>
    </row>
    <row r="146" spans="6:7" x14ac:dyDescent="0.2">
      <c r="F146" s="153"/>
      <c r="G146" s="153"/>
    </row>
    <row r="147" spans="6:7" x14ac:dyDescent="0.2">
      <c r="F147" s="153"/>
      <c r="G147" s="153"/>
    </row>
    <row r="148" spans="6:7" x14ac:dyDescent="0.2">
      <c r="F148" s="153"/>
      <c r="G148" s="153"/>
    </row>
    <row r="149" spans="6:7" x14ac:dyDescent="0.2">
      <c r="F149" s="153"/>
      <c r="G149" s="153"/>
    </row>
    <row r="150" spans="6:7" x14ac:dyDescent="0.2">
      <c r="F150" s="153"/>
      <c r="G150" s="153"/>
    </row>
    <row r="151" spans="6:7" x14ac:dyDescent="0.2">
      <c r="F151" s="153"/>
      <c r="G151" s="153"/>
    </row>
    <row r="152" spans="6:7" x14ac:dyDescent="0.2">
      <c r="F152" s="153"/>
      <c r="G152" s="153"/>
    </row>
    <row r="153" spans="6:7" x14ac:dyDescent="0.2">
      <c r="F153" s="153"/>
      <c r="G153" s="153"/>
    </row>
    <row r="154" spans="6:7" x14ac:dyDescent="0.2">
      <c r="F154" s="153"/>
      <c r="G154" s="153"/>
    </row>
    <row r="155" spans="6:7" x14ac:dyDescent="0.2">
      <c r="F155" s="153"/>
      <c r="G155" s="153"/>
    </row>
    <row r="156" spans="6:7" x14ac:dyDescent="0.2">
      <c r="F156" s="153"/>
      <c r="G156" s="153"/>
    </row>
    <row r="157" spans="6:7" x14ac:dyDescent="0.2">
      <c r="F157" s="153"/>
      <c r="G157" s="153"/>
    </row>
    <row r="158" spans="6:7" x14ac:dyDescent="0.2">
      <c r="F158" s="153"/>
      <c r="G158" s="153"/>
    </row>
    <row r="159" spans="6:7" x14ac:dyDescent="0.2">
      <c r="F159" s="153"/>
      <c r="G159" s="153"/>
    </row>
    <row r="160" spans="6:7" x14ac:dyDescent="0.2">
      <c r="F160" s="153"/>
      <c r="G160" s="153"/>
    </row>
    <row r="161" spans="6:7" x14ac:dyDescent="0.2">
      <c r="F161" s="153"/>
      <c r="G161" s="153"/>
    </row>
    <row r="162" spans="6:7" x14ac:dyDescent="0.2">
      <c r="F162" s="153"/>
      <c r="G162" s="153"/>
    </row>
    <row r="163" spans="6:7" x14ac:dyDescent="0.2">
      <c r="F163" s="153"/>
      <c r="G163" s="153"/>
    </row>
    <row r="164" spans="6:7" x14ac:dyDescent="0.2">
      <c r="F164" s="153"/>
      <c r="G164" s="153"/>
    </row>
    <row r="165" spans="6:7" x14ac:dyDescent="0.2">
      <c r="F165" s="153"/>
      <c r="G165" s="153"/>
    </row>
    <row r="166" spans="6:7" x14ac:dyDescent="0.2">
      <c r="F166" s="153"/>
      <c r="G166" s="153"/>
    </row>
    <row r="167" spans="6:7" x14ac:dyDescent="0.2">
      <c r="F167" s="153"/>
      <c r="G167" s="153"/>
    </row>
    <row r="168" spans="6:7" x14ac:dyDescent="0.2">
      <c r="F168" s="153"/>
      <c r="G168" s="153"/>
    </row>
    <row r="169" spans="6:7" x14ac:dyDescent="0.2">
      <c r="F169" s="153"/>
      <c r="G169" s="153"/>
    </row>
    <row r="170" spans="6:7" x14ac:dyDescent="0.2">
      <c r="F170" s="153"/>
      <c r="G170" s="153"/>
    </row>
    <row r="171" spans="6:7" x14ac:dyDescent="0.2">
      <c r="F171" s="153"/>
      <c r="G171" s="153"/>
    </row>
    <row r="172" spans="6:7" x14ac:dyDescent="0.2">
      <c r="F172" s="153"/>
      <c r="G172" s="153"/>
    </row>
    <row r="173" spans="6:7" x14ac:dyDescent="0.2">
      <c r="F173" s="153"/>
      <c r="G173" s="153"/>
    </row>
    <row r="174" spans="6:7" x14ac:dyDescent="0.2">
      <c r="F174" s="153"/>
      <c r="G174" s="153"/>
    </row>
    <row r="175" spans="6:7" x14ac:dyDescent="0.2">
      <c r="F175" s="153"/>
      <c r="G175" s="153"/>
    </row>
    <row r="176" spans="6:7" x14ac:dyDescent="0.2">
      <c r="F176" s="153"/>
      <c r="G176" s="153"/>
    </row>
    <row r="177" spans="6:7" x14ac:dyDescent="0.2">
      <c r="F177" s="153"/>
      <c r="G177" s="153"/>
    </row>
    <row r="178" spans="6:7" x14ac:dyDescent="0.2">
      <c r="F178" s="153"/>
      <c r="G178" s="153"/>
    </row>
    <row r="179" spans="6:7" x14ac:dyDescent="0.2">
      <c r="F179" s="153"/>
      <c r="G179" s="153"/>
    </row>
    <row r="180" spans="6:7" x14ac:dyDescent="0.2">
      <c r="F180" s="153"/>
      <c r="G180" s="153"/>
    </row>
    <row r="181" spans="6:7" x14ac:dyDescent="0.2">
      <c r="F181" s="153"/>
      <c r="G181" s="153"/>
    </row>
    <row r="182" spans="6:7" x14ac:dyDescent="0.2">
      <c r="F182" s="153"/>
      <c r="G182" s="153"/>
    </row>
    <row r="183" spans="6:7" x14ac:dyDescent="0.2">
      <c r="F183" s="153"/>
      <c r="G183" s="153"/>
    </row>
    <row r="184" spans="6:7" x14ac:dyDescent="0.2">
      <c r="F184" s="153"/>
      <c r="G184" s="153"/>
    </row>
    <row r="185" spans="6:7" x14ac:dyDescent="0.2">
      <c r="F185" s="153"/>
      <c r="G185" s="153"/>
    </row>
    <row r="186" spans="6:7" x14ac:dyDescent="0.2">
      <c r="F186" s="153"/>
      <c r="G186" s="153"/>
    </row>
    <row r="187" spans="6:7" x14ac:dyDescent="0.2">
      <c r="F187" s="153"/>
      <c r="G187" s="153"/>
    </row>
    <row r="188" spans="6:7" x14ac:dyDescent="0.2">
      <c r="F188" s="153"/>
      <c r="G188" s="153"/>
    </row>
    <row r="189" spans="6:7" x14ac:dyDescent="0.2">
      <c r="F189" s="153"/>
      <c r="G189" s="153"/>
    </row>
    <row r="190" spans="6:7" x14ac:dyDescent="0.2">
      <c r="F190" s="153"/>
      <c r="G190" s="153"/>
    </row>
    <row r="191" spans="6:7" x14ac:dyDescent="0.2">
      <c r="F191" s="153"/>
      <c r="G191" s="153"/>
    </row>
    <row r="192" spans="6:7" x14ac:dyDescent="0.2">
      <c r="F192" s="153"/>
      <c r="G192" s="153"/>
    </row>
    <row r="193" spans="6:7" x14ac:dyDescent="0.2">
      <c r="F193" s="153"/>
      <c r="G193" s="153"/>
    </row>
    <row r="194" spans="6:7" x14ac:dyDescent="0.2">
      <c r="F194" s="153"/>
      <c r="G194" s="153"/>
    </row>
    <row r="195" spans="6:7" x14ac:dyDescent="0.2">
      <c r="F195" s="153"/>
      <c r="G195" s="153"/>
    </row>
    <row r="196" spans="6:7" x14ac:dyDescent="0.2">
      <c r="F196" s="153"/>
      <c r="G196" s="153"/>
    </row>
    <row r="197" spans="6:7" x14ac:dyDescent="0.2">
      <c r="F197" s="153"/>
      <c r="G197" s="153"/>
    </row>
    <row r="198" spans="6:7" x14ac:dyDescent="0.2">
      <c r="F198" s="153"/>
      <c r="G198" s="153"/>
    </row>
    <row r="199" spans="6:7" x14ac:dyDescent="0.2">
      <c r="F199" s="153"/>
      <c r="G199" s="153"/>
    </row>
    <row r="200" spans="6:7" x14ac:dyDescent="0.2">
      <c r="F200" s="153"/>
      <c r="G200" s="153"/>
    </row>
    <row r="201" spans="6:7" x14ac:dyDescent="0.2">
      <c r="F201" s="153"/>
      <c r="G201" s="153"/>
    </row>
    <row r="202" spans="6:7" x14ac:dyDescent="0.2">
      <c r="F202" s="153"/>
      <c r="G202" s="153"/>
    </row>
    <row r="203" spans="6:7" x14ac:dyDescent="0.2">
      <c r="F203" s="153"/>
      <c r="G203" s="153"/>
    </row>
    <row r="204" spans="6:7" x14ac:dyDescent="0.2">
      <c r="F204" s="153"/>
      <c r="G204" s="153"/>
    </row>
    <row r="205" spans="6:7" x14ac:dyDescent="0.2">
      <c r="F205" s="153"/>
      <c r="G205" s="153"/>
    </row>
    <row r="206" spans="6:7" x14ac:dyDescent="0.2">
      <c r="F206" s="153"/>
      <c r="G206" s="153"/>
    </row>
    <row r="207" spans="6:7" x14ac:dyDescent="0.2">
      <c r="F207" s="153"/>
      <c r="G207" s="153"/>
    </row>
    <row r="208" spans="6:7" x14ac:dyDescent="0.2">
      <c r="F208" s="153"/>
      <c r="G208" s="153"/>
    </row>
    <row r="209" spans="6:7" x14ac:dyDescent="0.2">
      <c r="F209" s="153"/>
      <c r="G209" s="153"/>
    </row>
    <row r="210" spans="6:7" x14ac:dyDescent="0.2">
      <c r="F210" s="153"/>
      <c r="G210" s="153"/>
    </row>
    <row r="211" spans="6:7" x14ac:dyDescent="0.2">
      <c r="F211" s="153"/>
      <c r="G211" s="153"/>
    </row>
    <row r="212" spans="6:7" x14ac:dyDescent="0.2">
      <c r="F212" s="153"/>
      <c r="G212" s="153"/>
    </row>
    <row r="213" spans="6:7" x14ac:dyDescent="0.2">
      <c r="F213" s="153"/>
      <c r="G213" s="153"/>
    </row>
    <row r="214" spans="6:7" x14ac:dyDescent="0.2">
      <c r="F214" s="153"/>
      <c r="G214" s="153"/>
    </row>
    <row r="215" spans="6:7" x14ac:dyDescent="0.2">
      <c r="F215" s="153"/>
      <c r="G215" s="153"/>
    </row>
    <row r="216" spans="6:7" x14ac:dyDescent="0.2">
      <c r="F216" s="153"/>
      <c r="G216" s="153"/>
    </row>
    <row r="217" spans="6:7" x14ac:dyDescent="0.2">
      <c r="F217" s="153"/>
      <c r="G217" s="153"/>
    </row>
    <row r="218" spans="6:7" x14ac:dyDescent="0.2">
      <c r="F218" s="153"/>
      <c r="G218" s="153"/>
    </row>
    <row r="219" spans="6:7" x14ac:dyDescent="0.2">
      <c r="F219" s="153"/>
      <c r="G219" s="153"/>
    </row>
    <row r="220" spans="6:7" x14ac:dyDescent="0.2">
      <c r="F220" s="153"/>
      <c r="G220" s="153"/>
    </row>
    <row r="221" spans="6:7" x14ac:dyDescent="0.2">
      <c r="F221" s="153"/>
      <c r="G221" s="153"/>
    </row>
    <row r="222" spans="6:7" x14ac:dyDescent="0.2">
      <c r="F222" s="153"/>
      <c r="G222" s="153"/>
    </row>
    <row r="223" spans="6:7" x14ac:dyDescent="0.2">
      <c r="F223" s="153"/>
      <c r="G223" s="153"/>
    </row>
    <row r="224" spans="6:7" x14ac:dyDescent="0.2">
      <c r="F224" s="153"/>
      <c r="G224" s="153"/>
    </row>
    <row r="225" spans="6:7" x14ac:dyDescent="0.2">
      <c r="F225" s="153"/>
      <c r="G225" s="153"/>
    </row>
    <row r="226" spans="6:7" x14ac:dyDescent="0.2">
      <c r="F226" s="153"/>
      <c r="G226" s="153"/>
    </row>
    <row r="227" spans="6:7" x14ac:dyDescent="0.2">
      <c r="F227" s="153"/>
      <c r="G227" s="153"/>
    </row>
    <row r="228" spans="6:7" x14ac:dyDescent="0.2">
      <c r="F228" s="153"/>
      <c r="G228" s="153"/>
    </row>
    <row r="229" spans="6:7" x14ac:dyDescent="0.2">
      <c r="F229" s="153"/>
      <c r="G229" s="153"/>
    </row>
    <row r="230" spans="6:7" x14ac:dyDescent="0.2">
      <c r="F230" s="153"/>
      <c r="G230" s="153"/>
    </row>
    <row r="231" spans="6:7" x14ac:dyDescent="0.2">
      <c r="F231" s="153"/>
      <c r="G231" s="153"/>
    </row>
    <row r="232" spans="6:7" x14ac:dyDescent="0.2">
      <c r="F232" s="153"/>
      <c r="G232" s="153"/>
    </row>
    <row r="233" spans="6:7" x14ac:dyDescent="0.2">
      <c r="F233" s="153"/>
      <c r="G233" s="153"/>
    </row>
    <row r="234" spans="6:7" x14ac:dyDescent="0.2">
      <c r="F234" s="153"/>
      <c r="G234" s="153"/>
    </row>
    <row r="235" spans="6:7" x14ac:dyDescent="0.2">
      <c r="F235" s="153"/>
      <c r="G235" s="153"/>
    </row>
    <row r="236" spans="6:7" x14ac:dyDescent="0.2">
      <c r="F236" s="153"/>
      <c r="G236" s="153"/>
    </row>
    <row r="237" spans="6:7" x14ac:dyDescent="0.2">
      <c r="F237" s="153"/>
      <c r="G237" s="153"/>
    </row>
    <row r="238" spans="6:7" x14ac:dyDescent="0.2">
      <c r="F238" s="153"/>
      <c r="G238" s="153"/>
    </row>
    <row r="239" spans="6:7" x14ac:dyDescent="0.2">
      <c r="F239" s="153"/>
      <c r="G239" s="153"/>
    </row>
    <row r="240" spans="6:7" x14ac:dyDescent="0.2">
      <c r="F240" s="153"/>
      <c r="G240" s="153"/>
    </row>
    <row r="241" spans="6:7" x14ac:dyDescent="0.2">
      <c r="F241" s="153"/>
      <c r="G241" s="153"/>
    </row>
    <row r="242" spans="6:7" x14ac:dyDescent="0.2">
      <c r="F242" s="153"/>
      <c r="G242" s="153"/>
    </row>
    <row r="243" spans="6:7" x14ac:dyDescent="0.2">
      <c r="F243" s="153"/>
      <c r="G243" s="153"/>
    </row>
    <row r="244" spans="6:7" x14ac:dyDescent="0.2">
      <c r="F244" s="153"/>
      <c r="G244" s="153"/>
    </row>
    <row r="245" spans="6:7" x14ac:dyDescent="0.2">
      <c r="F245" s="153"/>
      <c r="G245" s="153"/>
    </row>
    <row r="246" spans="6:7" x14ac:dyDescent="0.2">
      <c r="F246" s="153"/>
      <c r="G246" s="153"/>
    </row>
    <row r="247" spans="6:7" x14ac:dyDescent="0.2">
      <c r="F247" s="153"/>
      <c r="G247" s="153"/>
    </row>
    <row r="248" spans="6:7" x14ac:dyDescent="0.2">
      <c r="F248" s="153"/>
      <c r="G248" s="153"/>
    </row>
    <row r="249" spans="6:7" x14ac:dyDescent="0.2">
      <c r="F249" s="153"/>
      <c r="G249" s="153"/>
    </row>
    <row r="250" spans="6:7" x14ac:dyDescent="0.2">
      <c r="F250" s="153"/>
      <c r="G250" s="153"/>
    </row>
    <row r="251" spans="6:7" x14ac:dyDescent="0.2">
      <c r="F251" s="153"/>
      <c r="G251" s="153"/>
    </row>
    <row r="252" spans="6:7" x14ac:dyDescent="0.2">
      <c r="F252" s="153"/>
      <c r="G252" s="153"/>
    </row>
    <row r="253" spans="6:7" x14ac:dyDescent="0.2">
      <c r="F253" s="153"/>
      <c r="G253" s="153"/>
    </row>
    <row r="254" spans="6:7" x14ac:dyDescent="0.2">
      <c r="F254" s="153"/>
      <c r="G254" s="153"/>
    </row>
    <row r="255" spans="6:7" x14ac:dyDescent="0.2">
      <c r="F255" s="153"/>
      <c r="G255" s="153"/>
    </row>
    <row r="256" spans="6:7" x14ac:dyDescent="0.2">
      <c r="F256" s="153"/>
      <c r="G256" s="153"/>
    </row>
    <row r="257" spans="6:7" x14ac:dyDescent="0.2">
      <c r="F257" s="153"/>
      <c r="G257" s="153"/>
    </row>
    <row r="258" spans="6:7" x14ac:dyDescent="0.2">
      <c r="F258" s="153"/>
      <c r="G258" s="153"/>
    </row>
    <row r="259" spans="6:7" x14ac:dyDescent="0.2">
      <c r="F259" s="153"/>
      <c r="G259" s="153"/>
    </row>
    <row r="260" spans="6:7" x14ac:dyDescent="0.2">
      <c r="F260" s="153"/>
      <c r="G260" s="153"/>
    </row>
    <row r="261" spans="6:7" x14ac:dyDescent="0.2">
      <c r="F261" s="153"/>
      <c r="G261" s="153"/>
    </row>
    <row r="262" spans="6:7" x14ac:dyDescent="0.2">
      <c r="F262" s="153"/>
      <c r="G262" s="153"/>
    </row>
    <row r="263" spans="6:7" x14ac:dyDescent="0.2">
      <c r="F263" s="153"/>
      <c r="G263" s="153"/>
    </row>
    <row r="264" spans="6:7" x14ac:dyDescent="0.2">
      <c r="F264" s="153"/>
      <c r="G264" s="153"/>
    </row>
    <row r="265" spans="6:7" x14ac:dyDescent="0.2">
      <c r="F265" s="153"/>
      <c r="G265" s="153"/>
    </row>
    <row r="266" spans="6:7" x14ac:dyDescent="0.2">
      <c r="F266" s="153"/>
      <c r="G266" s="153"/>
    </row>
    <row r="267" spans="6:7" x14ac:dyDescent="0.2">
      <c r="F267" s="153"/>
      <c r="G267" s="153"/>
    </row>
    <row r="268" spans="6:7" x14ac:dyDescent="0.2">
      <c r="F268" s="153"/>
      <c r="G268" s="153"/>
    </row>
    <row r="269" spans="6:7" x14ac:dyDescent="0.2">
      <c r="F269" s="153"/>
      <c r="G269" s="153"/>
    </row>
    <row r="270" spans="6:7" x14ac:dyDescent="0.2">
      <c r="F270" s="153"/>
      <c r="G270" s="153"/>
    </row>
    <row r="271" spans="6:7" x14ac:dyDescent="0.2">
      <c r="F271" s="153"/>
      <c r="G271" s="153"/>
    </row>
    <row r="272" spans="6:7" x14ac:dyDescent="0.2">
      <c r="F272" s="153"/>
      <c r="G272" s="153"/>
    </row>
    <row r="273" spans="6:7" x14ac:dyDescent="0.2">
      <c r="F273" s="153"/>
      <c r="G273" s="153"/>
    </row>
    <row r="274" spans="6:7" x14ac:dyDescent="0.2">
      <c r="F274" s="153"/>
      <c r="G274" s="153"/>
    </row>
    <row r="275" spans="6:7" x14ac:dyDescent="0.2">
      <c r="F275" s="153"/>
      <c r="G275" s="153"/>
    </row>
    <row r="276" spans="6:7" x14ac:dyDescent="0.2">
      <c r="F276" s="153"/>
      <c r="G276" s="153"/>
    </row>
    <row r="277" spans="6:7" x14ac:dyDescent="0.2">
      <c r="F277" s="153"/>
      <c r="G277" s="153"/>
    </row>
    <row r="278" spans="6:7" x14ac:dyDescent="0.2">
      <c r="F278" s="153"/>
      <c r="G278" s="153"/>
    </row>
    <row r="279" spans="6:7" x14ac:dyDescent="0.2">
      <c r="F279" s="153"/>
      <c r="G279" s="153"/>
    </row>
    <row r="280" spans="6:7" x14ac:dyDescent="0.2">
      <c r="F280" s="153"/>
      <c r="G280" s="153"/>
    </row>
    <row r="281" spans="6:7" x14ac:dyDescent="0.2">
      <c r="F281" s="153"/>
      <c r="G281" s="153"/>
    </row>
    <row r="282" spans="6:7" x14ac:dyDescent="0.2">
      <c r="F282" s="153"/>
      <c r="G282" s="153"/>
    </row>
    <row r="283" spans="6:7" x14ac:dyDescent="0.2">
      <c r="F283" s="153"/>
      <c r="G283" s="153"/>
    </row>
    <row r="284" spans="6:7" x14ac:dyDescent="0.2">
      <c r="F284" s="153"/>
      <c r="G284" s="153"/>
    </row>
    <row r="285" spans="6:7" x14ac:dyDescent="0.2">
      <c r="F285" s="153"/>
      <c r="G285" s="153"/>
    </row>
    <row r="286" spans="6:7" x14ac:dyDescent="0.2">
      <c r="F286" s="153"/>
      <c r="G286" s="153"/>
    </row>
    <row r="287" spans="6:7" x14ac:dyDescent="0.2">
      <c r="F287" s="153"/>
      <c r="G287" s="153"/>
    </row>
    <row r="288" spans="6:7" x14ac:dyDescent="0.2">
      <c r="F288" s="153"/>
      <c r="G288" s="153"/>
    </row>
    <row r="289" spans="6:7" x14ac:dyDescent="0.2">
      <c r="F289" s="153"/>
      <c r="G289" s="153"/>
    </row>
    <row r="290" spans="6:7" x14ac:dyDescent="0.2">
      <c r="F290" s="153"/>
      <c r="G290" s="153"/>
    </row>
    <row r="291" spans="6:7" x14ac:dyDescent="0.2">
      <c r="F291" s="153"/>
      <c r="G291" s="153"/>
    </row>
    <row r="292" spans="6:7" x14ac:dyDescent="0.2">
      <c r="F292" s="153"/>
      <c r="G292" s="153"/>
    </row>
    <row r="293" spans="6:7" x14ac:dyDescent="0.2">
      <c r="F293" s="153"/>
      <c r="G293" s="153"/>
    </row>
    <row r="294" spans="6:7" x14ac:dyDescent="0.2">
      <c r="F294" s="153"/>
      <c r="G294" s="153"/>
    </row>
    <row r="295" spans="6:7" x14ac:dyDescent="0.2">
      <c r="F295" s="153"/>
      <c r="G295" s="153"/>
    </row>
    <row r="296" spans="6:7" x14ac:dyDescent="0.2">
      <c r="F296" s="153"/>
      <c r="G296" s="153"/>
    </row>
    <row r="297" spans="6:7" x14ac:dyDescent="0.2">
      <c r="F297" s="153"/>
      <c r="G297" s="153"/>
    </row>
    <row r="298" spans="6:7" x14ac:dyDescent="0.2">
      <c r="F298" s="153"/>
      <c r="G298" s="153"/>
    </row>
    <row r="299" spans="6:7" x14ac:dyDescent="0.2">
      <c r="F299" s="153"/>
      <c r="G299" s="153"/>
    </row>
    <row r="300" spans="6:7" x14ac:dyDescent="0.2">
      <c r="F300" s="153"/>
      <c r="G300" s="153"/>
    </row>
    <row r="301" spans="6:7" x14ac:dyDescent="0.2">
      <c r="F301" s="153"/>
      <c r="G301" s="153"/>
    </row>
    <row r="302" spans="6:7" x14ac:dyDescent="0.2">
      <c r="F302" s="153"/>
      <c r="G302" s="153"/>
    </row>
    <row r="303" spans="6:7" x14ac:dyDescent="0.2">
      <c r="F303" s="153"/>
      <c r="G303" s="153"/>
    </row>
    <row r="304" spans="6:7" x14ac:dyDescent="0.2">
      <c r="F304" s="153"/>
      <c r="G304" s="153"/>
    </row>
    <row r="305" spans="6:7" x14ac:dyDescent="0.2">
      <c r="F305" s="153"/>
      <c r="G305" s="153"/>
    </row>
    <row r="306" spans="6:7" x14ac:dyDescent="0.2">
      <c r="F306" s="153"/>
      <c r="G306" s="153"/>
    </row>
    <row r="307" spans="6:7" x14ac:dyDescent="0.2">
      <c r="F307" s="153"/>
      <c r="G307" s="153"/>
    </row>
    <row r="308" spans="6:7" x14ac:dyDescent="0.2">
      <c r="F308" s="153"/>
      <c r="G308" s="153"/>
    </row>
    <row r="309" spans="6:7" x14ac:dyDescent="0.2">
      <c r="F309" s="153"/>
      <c r="G309" s="153"/>
    </row>
    <row r="310" spans="6:7" x14ac:dyDescent="0.2">
      <c r="F310" s="153"/>
      <c r="G310" s="153"/>
    </row>
    <row r="311" spans="6:7" x14ac:dyDescent="0.2">
      <c r="F311" s="153"/>
      <c r="G311" s="153"/>
    </row>
    <row r="312" spans="6:7" x14ac:dyDescent="0.2">
      <c r="F312" s="153"/>
      <c r="G312" s="153"/>
    </row>
    <row r="313" spans="6:7" x14ac:dyDescent="0.2">
      <c r="F313" s="153"/>
      <c r="G313" s="153"/>
    </row>
    <row r="314" spans="6:7" x14ac:dyDescent="0.2">
      <c r="F314" s="153"/>
      <c r="G314" s="153"/>
    </row>
    <row r="315" spans="6:7" x14ac:dyDescent="0.2">
      <c r="F315" s="153"/>
      <c r="G315" s="153"/>
    </row>
    <row r="316" spans="6:7" x14ac:dyDescent="0.2">
      <c r="F316" s="153"/>
      <c r="G316" s="153"/>
    </row>
    <row r="317" spans="6:7" x14ac:dyDescent="0.2">
      <c r="F317" s="153"/>
      <c r="G317" s="153"/>
    </row>
    <row r="318" spans="6:7" x14ac:dyDescent="0.2">
      <c r="F318" s="153"/>
      <c r="G318" s="153"/>
    </row>
    <row r="319" spans="6:7" x14ac:dyDescent="0.2">
      <c r="F319" s="153"/>
      <c r="G319" s="153"/>
    </row>
    <row r="320" spans="6:7" x14ac:dyDescent="0.2">
      <c r="F320" s="153"/>
      <c r="G320" s="153"/>
    </row>
    <row r="321" spans="6:7" x14ac:dyDescent="0.2">
      <c r="F321" s="153"/>
      <c r="G321" s="153"/>
    </row>
    <row r="322" spans="6:7" x14ac:dyDescent="0.2">
      <c r="F322" s="153"/>
      <c r="G322" s="153"/>
    </row>
    <row r="323" spans="6:7" x14ac:dyDescent="0.2">
      <c r="F323" s="153"/>
      <c r="G323" s="153"/>
    </row>
    <row r="324" spans="6:7" x14ac:dyDescent="0.2">
      <c r="F324" s="153"/>
      <c r="G324" s="153"/>
    </row>
    <row r="325" spans="6:7" x14ac:dyDescent="0.2">
      <c r="F325" s="153"/>
      <c r="G325" s="153"/>
    </row>
    <row r="326" spans="6:7" x14ac:dyDescent="0.2">
      <c r="F326" s="153"/>
      <c r="G326" s="153"/>
    </row>
    <row r="327" spans="6:7" x14ac:dyDescent="0.2">
      <c r="F327" s="153"/>
      <c r="G327" s="153"/>
    </row>
    <row r="328" spans="6:7" x14ac:dyDescent="0.2">
      <c r="F328" s="153"/>
      <c r="G328" s="153"/>
    </row>
    <row r="329" spans="6:7" x14ac:dyDescent="0.2">
      <c r="F329" s="153"/>
      <c r="G329" s="153"/>
    </row>
    <row r="330" spans="6:7" x14ac:dyDescent="0.2">
      <c r="F330" s="153"/>
      <c r="G330" s="153"/>
    </row>
    <row r="331" spans="6:7" x14ac:dyDescent="0.2">
      <c r="F331" s="153"/>
      <c r="G331" s="153"/>
    </row>
    <row r="332" spans="6:7" x14ac:dyDescent="0.2">
      <c r="F332" s="153"/>
      <c r="G332" s="153"/>
    </row>
    <row r="333" spans="6:7" x14ac:dyDescent="0.2">
      <c r="F333" s="153"/>
      <c r="G333" s="153"/>
    </row>
    <row r="334" spans="6:7" x14ac:dyDescent="0.2">
      <c r="F334" s="153"/>
      <c r="G334" s="153"/>
    </row>
    <row r="335" spans="6:7" x14ac:dyDescent="0.2">
      <c r="F335" s="153"/>
      <c r="G335" s="153"/>
    </row>
    <row r="336" spans="6:7" x14ac:dyDescent="0.2">
      <c r="F336" s="153"/>
      <c r="G336" s="153"/>
    </row>
    <row r="337" spans="6:7" x14ac:dyDescent="0.2">
      <c r="F337" s="153"/>
      <c r="G337" s="153"/>
    </row>
    <row r="338" spans="6:7" x14ac:dyDescent="0.2">
      <c r="F338" s="153"/>
      <c r="G338" s="153"/>
    </row>
    <row r="339" spans="6:7" x14ac:dyDescent="0.2">
      <c r="F339" s="153"/>
      <c r="G339" s="153"/>
    </row>
    <row r="340" spans="6:7" x14ac:dyDescent="0.2">
      <c r="F340" s="153"/>
      <c r="G340" s="153"/>
    </row>
    <row r="341" spans="6:7" x14ac:dyDescent="0.2">
      <c r="F341" s="153"/>
      <c r="G341" s="153"/>
    </row>
    <row r="342" spans="6:7" x14ac:dyDescent="0.2">
      <c r="F342" s="153"/>
      <c r="G342" s="153"/>
    </row>
    <row r="343" spans="6:7" x14ac:dyDescent="0.2">
      <c r="F343" s="153"/>
      <c r="G343" s="153"/>
    </row>
    <row r="344" spans="6:7" x14ac:dyDescent="0.2">
      <c r="F344" s="153"/>
      <c r="G344" s="153"/>
    </row>
    <row r="345" spans="6:7" x14ac:dyDescent="0.2">
      <c r="F345" s="153"/>
      <c r="G345" s="153"/>
    </row>
    <row r="346" spans="6:7" x14ac:dyDescent="0.2">
      <c r="F346" s="153"/>
      <c r="G346" s="153"/>
    </row>
    <row r="347" spans="6:7" x14ac:dyDescent="0.2">
      <c r="F347" s="153"/>
      <c r="G347" s="153"/>
    </row>
    <row r="348" spans="6:7" x14ac:dyDescent="0.2">
      <c r="F348" s="153"/>
      <c r="G348" s="153"/>
    </row>
    <row r="349" spans="6:7" x14ac:dyDescent="0.2">
      <c r="F349" s="153"/>
      <c r="G349" s="153"/>
    </row>
    <row r="350" spans="6:7" x14ac:dyDescent="0.2">
      <c r="F350" s="153"/>
      <c r="G350" s="153"/>
    </row>
    <row r="351" spans="6:7" x14ac:dyDescent="0.2">
      <c r="F351" s="153"/>
      <c r="G351" s="153"/>
    </row>
    <row r="352" spans="6:7" x14ac:dyDescent="0.2">
      <c r="F352" s="153"/>
      <c r="G352" s="153"/>
    </row>
    <row r="353" spans="6:7" x14ac:dyDescent="0.2">
      <c r="F353" s="153"/>
      <c r="G353" s="153"/>
    </row>
    <row r="354" spans="6:7" x14ac:dyDescent="0.2">
      <c r="F354" s="153"/>
      <c r="G354" s="153"/>
    </row>
    <row r="355" spans="6:7" x14ac:dyDescent="0.2">
      <c r="F355" s="153"/>
      <c r="G355" s="153"/>
    </row>
    <row r="356" spans="6:7" x14ac:dyDescent="0.2">
      <c r="F356" s="153"/>
      <c r="G356" s="153"/>
    </row>
    <row r="357" spans="6:7" x14ac:dyDescent="0.2">
      <c r="F357" s="153"/>
      <c r="G357" s="153"/>
    </row>
    <row r="358" spans="6:7" x14ac:dyDescent="0.2">
      <c r="F358" s="153"/>
      <c r="G358" s="153"/>
    </row>
    <row r="359" spans="6:7" x14ac:dyDescent="0.2">
      <c r="F359" s="153"/>
      <c r="G359" s="153"/>
    </row>
    <row r="360" spans="6:7" x14ac:dyDescent="0.2">
      <c r="F360" s="153"/>
      <c r="G360" s="153"/>
    </row>
    <row r="361" spans="6:7" x14ac:dyDescent="0.2">
      <c r="F361" s="153"/>
      <c r="G361" s="153"/>
    </row>
    <row r="362" spans="6:7" x14ac:dyDescent="0.2">
      <c r="F362" s="153"/>
      <c r="G362" s="153"/>
    </row>
    <row r="363" spans="6:7" x14ac:dyDescent="0.2">
      <c r="F363" s="153"/>
      <c r="G363" s="153"/>
    </row>
    <row r="364" spans="6:7" x14ac:dyDescent="0.2">
      <c r="F364" s="153"/>
      <c r="G364" s="153"/>
    </row>
    <row r="365" spans="6:7" x14ac:dyDescent="0.2">
      <c r="F365" s="153"/>
      <c r="G365" s="153"/>
    </row>
    <row r="366" spans="6:7" x14ac:dyDescent="0.2">
      <c r="F366" s="153"/>
      <c r="G366" s="153"/>
    </row>
    <row r="367" spans="6:7" x14ac:dyDescent="0.2">
      <c r="F367" s="153"/>
      <c r="G367" s="153"/>
    </row>
    <row r="368" spans="6:7" x14ac:dyDescent="0.2">
      <c r="F368" s="153"/>
      <c r="G368" s="153"/>
    </row>
    <row r="369" spans="6:7" x14ac:dyDescent="0.2">
      <c r="F369" s="153"/>
      <c r="G369" s="153"/>
    </row>
    <row r="370" spans="6:7" x14ac:dyDescent="0.2">
      <c r="F370" s="153"/>
      <c r="G370" s="153"/>
    </row>
    <row r="371" spans="6:7" x14ac:dyDescent="0.2">
      <c r="F371" s="153"/>
      <c r="G371" s="153"/>
    </row>
    <row r="372" spans="6:7" x14ac:dyDescent="0.2">
      <c r="F372" s="153"/>
      <c r="G372" s="153"/>
    </row>
    <row r="373" spans="6:7" x14ac:dyDescent="0.2">
      <c r="F373" s="153"/>
      <c r="G373" s="153"/>
    </row>
    <row r="374" spans="6:7" x14ac:dyDescent="0.2">
      <c r="F374" s="153"/>
      <c r="G374" s="153"/>
    </row>
    <row r="375" spans="6:7" x14ac:dyDescent="0.2">
      <c r="F375" s="153"/>
      <c r="G375" s="153"/>
    </row>
    <row r="376" spans="6:7" x14ac:dyDescent="0.2">
      <c r="F376" s="153"/>
      <c r="G376" s="153"/>
    </row>
    <row r="377" spans="6:7" x14ac:dyDescent="0.2">
      <c r="F377" s="153"/>
      <c r="G377" s="153"/>
    </row>
    <row r="378" spans="6:7" x14ac:dyDescent="0.2">
      <c r="F378" s="153"/>
      <c r="G378" s="153"/>
    </row>
    <row r="379" spans="6:7" x14ac:dyDescent="0.2">
      <c r="F379" s="153"/>
      <c r="G379" s="153"/>
    </row>
    <row r="380" spans="6:7" x14ac:dyDescent="0.2">
      <c r="F380" s="153"/>
      <c r="G380" s="153"/>
    </row>
    <row r="381" spans="6:7" x14ac:dyDescent="0.2">
      <c r="F381" s="153"/>
      <c r="G381" s="153"/>
    </row>
    <row r="382" spans="6:7" x14ac:dyDescent="0.2">
      <c r="F382" s="153"/>
      <c r="G382" s="153"/>
    </row>
    <row r="383" spans="6:7" x14ac:dyDescent="0.2">
      <c r="F383" s="153"/>
      <c r="G383" s="153"/>
    </row>
    <row r="384" spans="6:7" x14ac:dyDescent="0.2">
      <c r="F384" s="153"/>
      <c r="G384" s="153"/>
    </row>
    <row r="385" spans="6:7" x14ac:dyDescent="0.2">
      <c r="F385" s="153"/>
      <c r="G385" s="153"/>
    </row>
    <row r="386" spans="6:7" x14ac:dyDescent="0.2">
      <c r="F386" s="153"/>
      <c r="G386" s="153"/>
    </row>
    <row r="387" spans="6:7" x14ac:dyDescent="0.2">
      <c r="F387" s="153"/>
      <c r="G387" s="153"/>
    </row>
    <row r="388" spans="6:7" x14ac:dyDescent="0.2">
      <c r="F388" s="153"/>
      <c r="G388" s="153"/>
    </row>
    <row r="389" spans="6:7" x14ac:dyDescent="0.2">
      <c r="F389" s="153"/>
      <c r="G389" s="153"/>
    </row>
    <row r="390" spans="6:7" x14ac:dyDescent="0.2">
      <c r="F390" s="153"/>
      <c r="G390" s="153"/>
    </row>
    <row r="391" spans="6:7" x14ac:dyDescent="0.2">
      <c r="F391" s="153"/>
      <c r="G391" s="153"/>
    </row>
    <row r="392" spans="6:7" x14ac:dyDescent="0.2">
      <c r="F392" s="153"/>
      <c r="G392" s="153"/>
    </row>
    <row r="393" spans="6:7" x14ac:dyDescent="0.2">
      <c r="F393" s="153"/>
      <c r="G393" s="153"/>
    </row>
    <row r="394" spans="6:7" x14ac:dyDescent="0.2">
      <c r="F394" s="153"/>
      <c r="G394" s="153"/>
    </row>
    <row r="395" spans="6:7" x14ac:dyDescent="0.2">
      <c r="F395" s="153"/>
      <c r="G395" s="153"/>
    </row>
    <row r="396" spans="6:7" x14ac:dyDescent="0.2">
      <c r="F396" s="153"/>
      <c r="G396" s="153"/>
    </row>
    <row r="397" spans="6:7" x14ac:dyDescent="0.2">
      <c r="F397" s="153"/>
      <c r="G397" s="153"/>
    </row>
    <row r="398" spans="6:7" x14ac:dyDescent="0.2">
      <c r="F398" s="153"/>
      <c r="G398" s="153"/>
    </row>
    <row r="399" spans="6:7" x14ac:dyDescent="0.2">
      <c r="F399" s="153"/>
      <c r="G399" s="153"/>
    </row>
    <row r="400" spans="6:7" x14ac:dyDescent="0.2">
      <c r="F400" s="153"/>
      <c r="G400" s="153"/>
    </row>
    <row r="401" spans="6:7" x14ac:dyDescent="0.2">
      <c r="F401" s="153"/>
      <c r="G401" s="153"/>
    </row>
    <row r="402" spans="6:7" x14ac:dyDescent="0.2">
      <c r="F402" s="153"/>
      <c r="G402" s="153"/>
    </row>
    <row r="403" spans="6:7" x14ac:dyDescent="0.2">
      <c r="F403" s="153"/>
      <c r="G403" s="153"/>
    </row>
    <row r="404" spans="6:7" x14ac:dyDescent="0.2">
      <c r="F404" s="153"/>
      <c r="G404" s="153"/>
    </row>
    <row r="405" spans="6:7" x14ac:dyDescent="0.2">
      <c r="F405" s="153"/>
      <c r="G405" s="153"/>
    </row>
    <row r="406" spans="6:7" x14ac:dyDescent="0.2">
      <c r="F406" s="153"/>
      <c r="G406" s="153"/>
    </row>
    <row r="407" spans="6:7" x14ac:dyDescent="0.2">
      <c r="F407" s="153"/>
      <c r="G407" s="153"/>
    </row>
    <row r="408" spans="6:7" x14ac:dyDescent="0.2">
      <c r="F408" s="153"/>
      <c r="G408" s="153"/>
    </row>
    <row r="409" spans="6:7" x14ac:dyDescent="0.2">
      <c r="F409" s="153"/>
      <c r="G409" s="153"/>
    </row>
    <row r="410" spans="6:7" x14ac:dyDescent="0.2">
      <c r="F410" s="153"/>
      <c r="G410" s="153"/>
    </row>
    <row r="411" spans="6:7" x14ac:dyDescent="0.2">
      <c r="F411" s="153"/>
      <c r="G411" s="153"/>
    </row>
    <row r="412" spans="6:7" x14ac:dyDescent="0.2">
      <c r="F412" s="153"/>
      <c r="G412" s="153"/>
    </row>
    <row r="413" spans="6:7" x14ac:dyDescent="0.2">
      <c r="F413" s="153"/>
      <c r="G413" s="153"/>
    </row>
    <row r="414" spans="6:7" x14ac:dyDescent="0.2">
      <c r="F414" s="153"/>
      <c r="G414" s="153"/>
    </row>
    <row r="415" spans="6:7" x14ac:dyDescent="0.2">
      <c r="F415" s="153"/>
      <c r="G415" s="153"/>
    </row>
    <row r="416" spans="6:7" x14ac:dyDescent="0.2">
      <c r="F416" s="153"/>
      <c r="G416" s="153"/>
    </row>
    <row r="417" spans="6:7" x14ac:dyDescent="0.2">
      <c r="F417" s="153"/>
      <c r="G417" s="153"/>
    </row>
    <row r="418" spans="6:7" x14ac:dyDescent="0.2">
      <c r="F418" s="153"/>
      <c r="G418" s="153"/>
    </row>
    <row r="419" spans="6:7" x14ac:dyDescent="0.2">
      <c r="F419" s="153"/>
      <c r="G419" s="153"/>
    </row>
    <row r="420" spans="6:7" x14ac:dyDescent="0.2">
      <c r="F420" s="153"/>
      <c r="G420" s="153"/>
    </row>
    <row r="421" spans="6:7" x14ac:dyDescent="0.2">
      <c r="F421" s="153"/>
      <c r="G421" s="153"/>
    </row>
    <row r="422" spans="6:7" x14ac:dyDescent="0.2">
      <c r="F422" s="153"/>
      <c r="G422" s="153"/>
    </row>
    <row r="423" spans="6:7" x14ac:dyDescent="0.2">
      <c r="F423" s="153"/>
      <c r="G423" s="153"/>
    </row>
    <row r="424" spans="6:7" x14ac:dyDescent="0.2">
      <c r="F424" s="153"/>
      <c r="G424" s="153"/>
    </row>
    <row r="425" spans="6:7" x14ac:dyDescent="0.2">
      <c r="F425" s="153"/>
      <c r="G425" s="153"/>
    </row>
    <row r="426" spans="6:7" x14ac:dyDescent="0.2">
      <c r="F426" s="153"/>
      <c r="G426" s="153"/>
    </row>
    <row r="427" spans="6:7" x14ac:dyDescent="0.2">
      <c r="F427" s="153"/>
      <c r="G427" s="153"/>
    </row>
    <row r="428" spans="6:7" x14ac:dyDescent="0.2">
      <c r="F428" s="153"/>
      <c r="G428" s="153"/>
    </row>
    <row r="429" spans="6:7" x14ac:dyDescent="0.2">
      <c r="F429" s="153"/>
      <c r="G429" s="153"/>
    </row>
    <row r="430" spans="6:7" x14ac:dyDescent="0.2">
      <c r="F430" s="153"/>
      <c r="G430" s="153"/>
    </row>
    <row r="431" spans="6:7" x14ac:dyDescent="0.2">
      <c r="F431" s="153"/>
      <c r="G431" s="153"/>
    </row>
    <row r="432" spans="6:7" x14ac:dyDescent="0.2">
      <c r="F432" s="153"/>
      <c r="G432" s="153"/>
    </row>
    <row r="433" spans="6:7" x14ac:dyDescent="0.2">
      <c r="F433" s="153"/>
      <c r="G433" s="153"/>
    </row>
    <row r="434" spans="6:7" x14ac:dyDescent="0.2">
      <c r="F434" s="153"/>
      <c r="G434" s="153"/>
    </row>
    <row r="435" spans="6:7" x14ac:dyDescent="0.2">
      <c r="F435" s="153"/>
      <c r="G435" s="153"/>
    </row>
    <row r="436" spans="6:7" x14ac:dyDescent="0.2">
      <c r="F436" s="153"/>
      <c r="G436" s="153"/>
    </row>
    <row r="437" spans="6:7" x14ac:dyDescent="0.2">
      <c r="F437" s="153"/>
      <c r="G437" s="153"/>
    </row>
    <row r="438" spans="6:7" x14ac:dyDescent="0.2">
      <c r="F438" s="153"/>
      <c r="G438" s="153"/>
    </row>
    <row r="439" spans="6:7" x14ac:dyDescent="0.2">
      <c r="F439" s="153"/>
      <c r="G439" s="153"/>
    </row>
    <row r="440" spans="6:7" x14ac:dyDescent="0.2">
      <c r="F440" s="153"/>
      <c r="G440" s="153"/>
    </row>
    <row r="441" spans="6:7" x14ac:dyDescent="0.2">
      <c r="F441" s="153"/>
      <c r="G441" s="153"/>
    </row>
    <row r="442" spans="6:7" x14ac:dyDescent="0.2">
      <c r="F442" s="153"/>
      <c r="G442" s="153"/>
    </row>
    <row r="443" spans="6:7" x14ac:dyDescent="0.2">
      <c r="F443" s="153"/>
      <c r="G443" s="153"/>
    </row>
    <row r="444" spans="6:7" x14ac:dyDescent="0.2">
      <c r="F444" s="153"/>
      <c r="G444" s="153"/>
    </row>
    <row r="445" spans="6:7" x14ac:dyDescent="0.2">
      <c r="F445" s="153"/>
      <c r="G445" s="153"/>
    </row>
    <row r="446" spans="6:7" x14ac:dyDescent="0.2">
      <c r="F446" s="153"/>
      <c r="G446" s="153"/>
    </row>
    <row r="447" spans="6:7" x14ac:dyDescent="0.2">
      <c r="F447" s="153"/>
      <c r="G447" s="153"/>
    </row>
    <row r="448" spans="6:7" x14ac:dyDescent="0.2">
      <c r="F448" s="153"/>
      <c r="G448" s="153"/>
    </row>
    <row r="449" spans="6:7" x14ac:dyDescent="0.2">
      <c r="F449" s="153"/>
      <c r="G449" s="153"/>
    </row>
    <row r="450" spans="6:7" x14ac:dyDescent="0.2">
      <c r="F450" s="153"/>
      <c r="G450" s="153"/>
    </row>
    <row r="451" spans="6:7" x14ac:dyDescent="0.2">
      <c r="F451" s="153"/>
      <c r="G451" s="153"/>
    </row>
    <row r="452" spans="6:7" x14ac:dyDescent="0.2">
      <c r="F452" s="153"/>
      <c r="G452" s="153"/>
    </row>
    <row r="453" spans="6:7" x14ac:dyDescent="0.2">
      <c r="F453" s="153"/>
      <c r="G453" s="153"/>
    </row>
    <row r="454" spans="6:7" x14ac:dyDescent="0.2">
      <c r="F454" s="153"/>
      <c r="G454" s="153"/>
    </row>
    <row r="455" spans="6:7" x14ac:dyDescent="0.2">
      <c r="F455" s="153"/>
      <c r="G455" s="153"/>
    </row>
    <row r="456" spans="6:7" x14ac:dyDescent="0.2">
      <c r="F456" s="153"/>
      <c r="G456" s="153"/>
    </row>
    <row r="457" spans="6:7" x14ac:dyDescent="0.2">
      <c r="F457" s="153"/>
      <c r="G457" s="153"/>
    </row>
    <row r="458" spans="6:7" x14ac:dyDescent="0.2">
      <c r="F458" s="153"/>
      <c r="G458" s="153"/>
    </row>
    <row r="459" spans="6:7" x14ac:dyDescent="0.2">
      <c r="F459" s="153"/>
      <c r="G459" s="153"/>
    </row>
    <row r="460" spans="6:7" x14ac:dyDescent="0.2">
      <c r="F460" s="153"/>
      <c r="G460" s="153"/>
    </row>
    <row r="461" spans="6:7" x14ac:dyDescent="0.2">
      <c r="F461" s="153"/>
      <c r="G461" s="153"/>
    </row>
    <row r="462" spans="6:7" x14ac:dyDescent="0.2">
      <c r="F462" s="153"/>
      <c r="G462" s="153"/>
    </row>
    <row r="463" spans="6:7" x14ac:dyDescent="0.2">
      <c r="F463" s="153"/>
      <c r="G463" s="153"/>
    </row>
    <row r="464" spans="6:7" x14ac:dyDescent="0.2">
      <c r="F464" s="153"/>
      <c r="G464" s="153"/>
    </row>
    <row r="465" spans="6:7" x14ac:dyDescent="0.2">
      <c r="F465" s="153"/>
      <c r="G465" s="153"/>
    </row>
    <row r="466" spans="6:7" x14ac:dyDescent="0.2">
      <c r="F466" s="153"/>
      <c r="G466" s="153"/>
    </row>
    <row r="467" spans="6:7" x14ac:dyDescent="0.2">
      <c r="F467" s="153"/>
      <c r="G467" s="153"/>
    </row>
    <row r="468" spans="6:7" x14ac:dyDescent="0.2">
      <c r="F468" s="153"/>
      <c r="G468" s="153"/>
    </row>
    <row r="469" spans="6:7" x14ac:dyDescent="0.2">
      <c r="F469" s="153"/>
      <c r="G469" s="153"/>
    </row>
    <row r="470" spans="6:7" x14ac:dyDescent="0.2">
      <c r="F470" s="153"/>
      <c r="G470" s="153"/>
    </row>
    <row r="471" spans="6:7" x14ac:dyDescent="0.2">
      <c r="F471" s="153"/>
      <c r="G471" s="153"/>
    </row>
    <row r="472" spans="6:7" x14ac:dyDescent="0.2">
      <c r="F472" s="153"/>
      <c r="G472" s="153"/>
    </row>
    <row r="473" spans="6:7" x14ac:dyDescent="0.2">
      <c r="F473" s="153"/>
      <c r="G473" s="153"/>
    </row>
    <row r="474" spans="6:7" x14ac:dyDescent="0.2">
      <c r="F474" s="153"/>
      <c r="G474" s="153"/>
    </row>
    <row r="475" spans="6:7" x14ac:dyDescent="0.2">
      <c r="F475" s="153"/>
      <c r="G475" s="153"/>
    </row>
    <row r="476" spans="6:7" x14ac:dyDescent="0.2">
      <c r="F476" s="153"/>
      <c r="G476" s="153"/>
    </row>
    <row r="477" spans="6:7" x14ac:dyDescent="0.2">
      <c r="F477" s="153"/>
      <c r="G477" s="153"/>
    </row>
    <row r="478" spans="6:7" x14ac:dyDescent="0.2">
      <c r="F478" s="153"/>
      <c r="G478" s="153"/>
    </row>
    <row r="479" spans="6:7" x14ac:dyDescent="0.2">
      <c r="F479" s="153"/>
      <c r="G479" s="153"/>
    </row>
    <row r="480" spans="6:7" x14ac:dyDescent="0.2">
      <c r="F480" s="153"/>
      <c r="G480" s="153"/>
    </row>
    <row r="481" spans="6:7" x14ac:dyDescent="0.2">
      <c r="F481" s="153"/>
      <c r="G481" s="153"/>
    </row>
    <row r="482" spans="6:7" x14ac:dyDescent="0.2">
      <c r="F482" s="153"/>
      <c r="G482" s="153"/>
    </row>
    <row r="483" spans="6:7" x14ac:dyDescent="0.2">
      <c r="F483" s="153"/>
      <c r="G483" s="153"/>
    </row>
    <row r="484" spans="6:7" x14ac:dyDescent="0.2">
      <c r="F484" s="153"/>
      <c r="G484" s="153"/>
    </row>
    <row r="485" spans="6:7" x14ac:dyDescent="0.2">
      <c r="F485" s="153"/>
      <c r="G485" s="153"/>
    </row>
    <row r="486" spans="6:7" x14ac:dyDescent="0.2">
      <c r="F486" s="153"/>
      <c r="G486" s="153"/>
    </row>
    <row r="487" spans="6:7" x14ac:dyDescent="0.2">
      <c r="F487" s="153"/>
      <c r="G487" s="153"/>
    </row>
    <row r="488" spans="6:7" x14ac:dyDescent="0.2">
      <c r="F488" s="153"/>
      <c r="G488" s="153"/>
    </row>
    <row r="489" spans="6:7" x14ac:dyDescent="0.2">
      <c r="F489" s="153"/>
      <c r="G489" s="153"/>
    </row>
    <row r="490" spans="6:7" x14ac:dyDescent="0.2">
      <c r="F490" s="153"/>
      <c r="G490" s="153"/>
    </row>
    <row r="491" spans="6:7" x14ac:dyDescent="0.2">
      <c r="F491" s="153"/>
      <c r="G491" s="153"/>
    </row>
    <row r="492" spans="6:7" x14ac:dyDescent="0.2">
      <c r="F492" s="153"/>
      <c r="G492" s="153"/>
    </row>
    <row r="493" spans="6:7" x14ac:dyDescent="0.2">
      <c r="F493" s="153"/>
      <c r="G493" s="153"/>
    </row>
    <row r="494" spans="6:7" x14ac:dyDescent="0.2">
      <c r="F494" s="153"/>
      <c r="G494" s="153"/>
    </row>
  </sheetData>
  <mergeCells count="1">
    <mergeCell ref="G17:G19"/>
  </mergeCells>
  <printOptions horizontalCentered="1" verticalCentered="1"/>
  <pageMargins left="0.31496062992125984" right="0.11811023622047245" top="0.74803149606299213" bottom="0.74803149606299213" header="0.31496062992125984" footer="0.31496062992125984"/>
  <pageSetup scale="38" fitToHeight="22" orientation="landscape" r:id="rId1"/>
  <headerFooter>
    <oddFooter>&amp;C&amp;14&amp;P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Inmuebles 2022</vt:lpstr>
      <vt:lpstr>Concentrado</vt:lpstr>
      <vt:lpstr>Nuevos</vt:lpstr>
      <vt:lpstr>Concentrado!Área_de_impresión</vt:lpstr>
      <vt:lpstr>'Inmuebles 2022'!Área_de_impresión</vt:lpstr>
      <vt:lpstr>Nuevos!Área_de_impresión</vt:lpstr>
      <vt:lpstr>'Inmuebles 2022'!Títulos_a_imprimir</vt:lpstr>
      <vt:lpstr>Nuevos!Títulos_a_imprimir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Maribel</dc:creator>
  <cp:lastModifiedBy>Guillermo Enrique Gómez Parra</cp:lastModifiedBy>
  <cp:lastPrinted>2021-09-27T15:31:25Z</cp:lastPrinted>
  <dcterms:created xsi:type="dcterms:W3CDTF">2014-12-29T03:41:21Z</dcterms:created>
  <dcterms:modified xsi:type="dcterms:W3CDTF">2021-09-27T18:27:16Z</dcterms:modified>
</cp:coreProperties>
</file>